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Global Projects/1_Activities/HNO_HRP/HNO 2023/Calculation sheet/"/>
    </mc:Choice>
  </mc:AlternateContent>
  <xr:revisionPtr revIDLastSave="218" documentId="8_{044470DE-8B65-468C-8DF0-EDE6D1FF58EE}" xr6:coauthVersionLast="46" xr6:coauthVersionMax="46" xr10:uidLastSave="{00AC12B3-E7E6-4AF2-93E4-868218979392}"/>
  <bookViews>
    <workbookView xWindow="-110" yWindow="-110" windowWidth="19420" windowHeight="10400" activeTab="6" xr2:uid="{35FDF030-0669-42C0-92AE-B7FFEB4AB911}"/>
  </bookViews>
  <sheets>
    <sheet name="READ ME" sheetId="1" r:id="rId1"/>
    <sheet name="Step 1-2" sheetId="2" r:id="rId2"/>
    <sheet name="Step 3 " sheetId="3" r:id="rId3"/>
    <sheet name="Step 4" sheetId="5" r:id="rId4"/>
    <sheet name="Step 5" sheetId="6" r:id="rId5"/>
    <sheet name="Step 6" sheetId="7" r:id="rId6"/>
    <sheet name="Step 7" sheetId="8" r:id="rId7"/>
    <sheet name="Step 8" sheetId="10" r:id="rId8"/>
    <sheet name="Step 9" sheetId="11" r:id="rId9"/>
    <sheet name="Final PIN_Severity" sheetId="12" r:id="rId10"/>
  </sheets>
  <definedNames>
    <definedName name="_xlnm._FilterDatabase" localSheetId="1" hidden="1">'Step 1-2'!$A$3:$I$3</definedName>
    <definedName name="_xlnm._FilterDatabase" localSheetId="2" hidden="1">'Step 3 '!$U$3:$V$3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75"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0" l="1"/>
  <c r="B4" i="10"/>
  <c r="H4" i="7"/>
  <c r="H5" i="7"/>
  <c r="H6" i="7"/>
  <c r="H7" i="7"/>
  <c r="H8" i="7"/>
  <c r="H9" i="7"/>
  <c r="H10" i="7"/>
  <c r="H11" i="7"/>
  <c r="H12" i="7"/>
  <c r="H13" i="7"/>
  <c r="H14" i="7"/>
  <c r="H15" i="7"/>
  <c r="H16" i="7"/>
  <c r="H17" i="7"/>
  <c r="H18" i="7"/>
  <c r="H19" i="7"/>
  <c r="H20" i="7"/>
  <c r="H21" i="7"/>
  <c r="H22" i="7"/>
  <c r="H3" i="7"/>
  <c r="D4" i="6"/>
  <c r="D4" i="7" s="1"/>
  <c r="E4" i="6"/>
  <c r="E4" i="7" s="1"/>
  <c r="F4" i="6"/>
  <c r="F4" i="7" s="1"/>
  <c r="G4" i="6"/>
  <c r="G4" i="7" s="1"/>
  <c r="D5" i="6"/>
  <c r="D5" i="7" s="1"/>
  <c r="E5" i="6"/>
  <c r="E5" i="7" s="1"/>
  <c r="F5" i="6"/>
  <c r="F5" i="7" s="1"/>
  <c r="G5" i="6"/>
  <c r="G5" i="7" s="1"/>
  <c r="D6" i="6"/>
  <c r="D6" i="7" s="1"/>
  <c r="E6" i="6"/>
  <c r="E6" i="7" s="1"/>
  <c r="F6" i="6"/>
  <c r="F6" i="7" s="1"/>
  <c r="G6" i="6"/>
  <c r="G6" i="7" s="1"/>
  <c r="D7" i="6"/>
  <c r="D7" i="7" s="1"/>
  <c r="E7" i="6"/>
  <c r="E7" i="7" s="1"/>
  <c r="F7" i="6"/>
  <c r="F7" i="7" s="1"/>
  <c r="G7" i="6"/>
  <c r="G7" i="7" s="1"/>
  <c r="D8" i="6"/>
  <c r="D8" i="7" s="1"/>
  <c r="E8" i="6"/>
  <c r="E8" i="7" s="1"/>
  <c r="F8" i="6"/>
  <c r="F8" i="7" s="1"/>
  <c r="G8" i="6"/>
  <c r="G8" i="7" s="1"/>
  <c r="E9" i="6"/>
  <c r="E9" i="7" s="1"/>
  <c r="F9" i="6"/>
  <c r="F9" i="7" s="1"/>
  <c r="G9" i="6"/>
  <c r="G9" i="7" s="1"/>
  <c r="E10" i="6"/>
  <c r="E10" i="7" s="1"/>
  <c r="F10" i="6"/>
  <c r="F10" i="7" s="1"/>
  <c r="G10" i="6"/>
  <c r="G10" i="7" s="1"/>
  <c r="E11" i="6"/>
  <c r="E11" i="7" s="1"/>
  <c r="F11" i="6"/>
  <c r="F11" i="7" s="1"/>
  <c r="G11" i="6"/>
  <c r="G11" i="7" s="1"/>
  <c r="D12" i="6"/>
  <c r="D12" i="7" s="1"/>
  <c r="E12" i="6"/>
  <c r="E12" i="7" s="1"/>
  <c r="F12" i="6"/>
  <c r="F12" i="7" s="1"/>
  <c r="G12" i="6"/>
  <c r="G12" i="7" s="1"/>
  <c r="D13" i="6"/>
  <c r="D13" i="7" s="1"/>
  <c r="E13" i="6"/>
  <c r="E13" i="7" s="1"/>
  <c r="F13" i="6"/>
  <c r="F13" i="7" s="1"/>
  <c r="G13" i="6"/>
  <c r="G13" i="7" s="1"/>
  <c r="D14" i="6"/>
  <c r="D14" i="7" s="1"/>
  <c r="E14" i="6"/>
  <c r="E14" i="7" s="1"/>
  <c r="F14" i="6"/>
  <c r="F14" i="7" s="1"/>
  <c r="G14" i="6"/>
  <c r="G14" i="7" s="1"/>
  <c r="D15" i="6"/>
  <c r="D15" i="7" s="1"/>
  <c r="E15" i="6"/>
  <c r="E15" i="7" s="1"/>
  <c r="F15" i="6"/>
  <c r="F15" i="7" s="1"/>
  <c r="G15" i="6"/>
  <c r="G15" i="7" s="1"/>
  <c r="D16" i="6"/>
  <c r="D16" i="7" s="1"/>
  <c r="E16" i="6"/>
  <c r="E16" i="7" s="1"/>
  <c r="F16" i="6"/>
  <c r="F16" i="7" s="1"/>
  <c r="G16" i="6"/>
  <c r="G16" i="7" s="1"/>
  <c r="D17" i="6"/>
  <c r="D17" i="7" s="1"/>
  <c r="E17" i="6"/>
  <c r="E17" i="7" s="1"/>
  <c r="F17" i="6"/>
  <c r="F17" i="7" s="1"/>
  <c r="G17" i="6"/>
  <c r="G17" i="7" s="1"/>
  <c r="D18" i="6"/>
  <c r="D18" i="7" s="1"/>
  <c r="E18" i="6"/>
  <c r="E18" i="7" s="1"/>
  <c r="F18" i="6"/>
  <c r="F18" i="7" s="1"/>
  <c r="G18" i="6"/>
  <c r="G18" i="7" s="1"/>
  <c r="D19" i="6"/>
  <c r="D19" i="7" s="1"/>
  <c r="E19" i="6"/>
  <c r="E19" i="7" s="1"/>
  <c r="F19" i="6"/>
  <c r="F19" i="7" s="1"/>
  <c r="G19" i="6"/>
  <c r="G19" i="7" s="1"/>
  <c r="D20" i="6"/>
  <c r="D20" i="7" s="1"/>
  <c r="E20" i="6"/>
  <c r="E20" i="7" s="1"/>
  <c r="F20" i="6"/>
  <c r="F20" i="7" s="1"/>
  <c r="G20" i="6"/>
  <c r="G20" i="7" s="1"/>
  <c r="D21" i="6"/>
  <c r="D21" i="7" s="1"/>
  <c r="E21" i="6"/>
  <c r="E21" i="7" s="1"/>
  <c r="F21" i="6"/>
  <c r="F21" i="7" s="1"/>
  <c r="G21" i="6"/>
  <c r="G21" i="7" s="1"/>
  <c r="E22" i="6"/>
  <c r="E22" i="7" s="1"/>
  <c r="F22" i="6"/>
  <c r="F22" i="7" s="1"/>
  <c r="G22" i="6"/>
  <c r="G22" i="7" s="1"/>
  <c r="H4" i="6"/>
  <c r="H5" i="6"/>
  <c r="H6" i="6"/>
  <c r="H7" i="6"/>
  <c r="H8" i="6"/>
  <c r="H9" i="6"/>
  <c r="H10" i="6"/>
  <c r="H11" i="6"/>
  <c r="H12" i="6"/>
  <c r="H13" i="6"/>
  <c r="H14" i="6"/>
  <c r="H15" i="6"/>
  <c r="H16" i="6"/>
  <c r="H17" i="6"/>
  <c r="H18" i="6"/>
  <c r="H19" i="6"/>
  <c r="H20" i="6"/>
  <c r="H21" i="6"/>
  <c r="H22" i="6"/>
  <c r="H3" i="6"/>
  <c r="G3" i="6"/>
  <c r="G3" i="7" s="1"/>
  <c r="F3" i="6"/>
  <c r="F3" i="7" s="1"/>
  <c r="H4" i="3"/>
  <c r="E3" i="6"/>
  <c r="E3" i="7" s="1"/>
  <c r="D3" i="6"/>
  <c r="D3" i="7" s="1"/>
  <c r="C5" i="5"/>
  <c r="C6" i="5"/>
  <c r="C7" i="5"/>
  <c r="C8" i="5"/>
  <c r="C9" i="5"/>
  <c r="C10" i="5"/>
  <c r="C11" i="5"/>
  <c r="C12" i="5"/>
  <c r="C13" i="5"/>
  <c r="C14" i="5"/>
  <c r="C15" i="5"/>
  <c r="C16" i="5"/>
  <c r="C17" i="5"/>
  <c r="C18" i="5"/>
  <c r="C19" i="5"/>
  <c r="C20" i="5"/>
  <c r="C21" i="5"/>
  <c r="C22" i="5"/>
  <c r="C23" i="5"/>
  <c r="C4" i="5"/>
  <c r="I3" i="7" l="1"/>
  <c r="N3" i="7" s="1"/>
  <c r="M3" i="7"/>
  <c r="J3" i="7"/>
  <c r="K3" i="7"/>
  <c r="L3" i="7"/>
  <c r="E5" i="3" l="1"/>
  <c r="E6" i="3"/>
  <c r="E7" i="3"/>
  <c r="E8" i="3"/>
  <c r="E9" i="3"/>
  <c r="E10" i="3"/>
  <c r="D9" i="6" s="1"/>
  <c r="D9" i="7" s="1"/>
  <c r="E11" i="3"/>
  <c r="D10" i="6" s="1"/>
  <c r="D10" i="7" s="1"/>
  <c r="E12" i="3"/>
  <c r="D11" i="6" s="1"/>
  <c r="D11" i="7" s="1"/>
  <c r="E13" i="3"/>
  <c r="E14" i="3"/>
  <c r="E15" i="3"/>
  <c r="E16" i="3"/>
  <c r="E17" i="3"/>
  <c r="E18" i="3"/>
  <c r="E19" i="3"/>
  <c r="E20" i="3"/>
  <c r="E21" i="3"/>
  <c r="E22" i="3"/>
  <c r="E23" i="3"/>
  <c r="D22" i="6" s="1"/>
  <c r="D22" i="7" s="1"/>
  <c r="E4" i="3"/>
  <c r="K5" i="3"/>
  <c r="K6" i="3"/>
  <c r="K7" i="3"/>
  <c r="K8" i="3"/>
  <c r="K9" i="3"/>
  <c r="K10" i="3"/>
  <c r="K11" i="3"/>
  <c r="K12" i="3"/>
  <c r="K13" i="3"/>
  <c r="K14" i="3"/>
  <c r="K15" i="3"/>
  <c r="K16" i="3"/>
  <c r="K17" i="3"/>
  <c r="K18" i="3"/>
  <c r="K19" i="3"/>
  <c r="K20" i="3"/>
  <c r="K21" i="3"/>
  <c r="K22" i="3"/>
  <c r="K23" i="3"/>
  <c r="K4" i="3"/>
  <c r="G12" i="11" l="1"/>
  <c r="F12" i="11"/>
  <c r="E12" i="11"/>
  <c r="D12" i="11"/>
  <c r="C12" i="11"/>
  <c r="G11" i="11"/>
  <c r="F11" i="11"/>
  <c r="E11" i="11"/>
  <c r="D11" i="11"/>
  <c r="C11" i="11"/>
  <c r="G8" i="11"/>
  <c r="F8" i="11"/>
  <c r="E8" i="11"/>
  <c r="D8" i="11"/>
  <c r="C8" i="11"/>
  <c r="I8" i="11" s="1"/>
  <c r="G7" i="11"/>
  <c r="M7" i="11" s="1"/>
  <c r="F7" i="11"/>
  <c r="L7" i="11" s="1"/>
  <c r="E7" i="11"/>
  <c r="K7" i="11" s="1"/>
  <c r="D7" i="11"/>
  <c r="C7" i="11"/>
  <c r="I7" i="11" s="1"/>
  <c r="F5" i="10"/>
  <c r="E5" i="10"/>
  <c r="D5" i="10"/>
  <c r="C5" i="10"/>
  <c r="B5" i="10"/>
  <c r="E4" i="10"/>
  <c r="H4" i="10" s="1"/>
  <c r="D4" i="10"/>
  <c r="C4" i="10"/>
  <c r="O7" i="11" l="1"/>
  <c r="E5" i="12" s="1"/>
  <c r="O3" i="7"/>
  <c r="P3" i="7" s="1"/>
  <c r="D3" i="8" s="1"/>
  <c r="M12" i="11"/>
  <c r="L12" i="11"/>
  <c r="K12" i="11"/>
  <c r="J12" i="11"/>
  <c r="I12" i="11"/>
  <c r="M11" i="11"/>
  <c r="L11" i="11"/>
  <c r="K11" i="11"/>
  <c r="J11" i="11"/>
  <c r="I11" i="11"/>
  <c r="M8" i="11"/>
  <c r="L8" i="11"/>
  <c r="K8" i="11"/>
  <c r="J8" i="11"/>
  <c r="J7" i="11"/>
  <c r="C5" i="12"/>
  <c r="H5" i="10"/>
  <c r="C6" i="12" s="1"/>
  <c r="O11" i="11" l="1"/>
  <c r="O12" i="11"/>
  <c r="F6" i="12" s="1"/>
  <c r="O8" i="11"/>
  <c r="E6" i="12" l="1"/>
  <c r="P11" i="11"/>
  <c r="D6" i="12" s="1"/>
  <c r="F5" i="12"/>
  <c r="P7" i="11"/>
  <c r="D5" i="12" s="1"/>
  <c r="H5" i="3"/>
  <c r="H6" i="3"/>
  <c r="H7" i="3"/>
  <c r="H8" i="3"/>
  <c r="H9" i="3"/>
  <c r="H10" i="3"/>
  <c r="O9" i="7" s="1"/>
  <c r="H11" i="3"/>
  <c r="H12" i="3"/>
  <c r="H13" i="3"/>
  <c r="H14" i="3"/>
  <c r="H15" i="3"/>
  <c r="H16" i="3"/>
  <c r="H17" i="3"/>
  <c r="H18" i="3"/>
  <c r="H19" i="3"/>
  <c r="O18" i="7" s="1"/>
  <c r="H20" i="3"/>
  <c r="O19" i="7" s="1"/>
  <c r="H21" i="3"/>
  <c r="H22" i="3"/>
  <c r="H23" i="3"/>
  <c r="N5" i="3"/>
  <c r="N6" i="3"/>
  <c r="N7" i="3"/>
  <c r="N8" i="3"/>
  <c r="N9" i="3"/>
  <c r="N10" i="3"/>
  <c r="N11" i="3"/>
  <c r="N12" i="3"/>
  <c r="N13" i="3"/>
  <c r="N14" i="3"/>
  <c r="N15" i="3"/>
  <c r="N16" i="3"/>
  <c r="N17" i="3"/>
  <c r="N18" i="3"/>
  <c r="N19" i="3"/>
  <c r="N20" i="3"/>
  <c r="N21" i="3"/>
  <c r="N22" i="3"/>
  <c r="N23" i="3"/>
  <c r="N4" i="3"/>
  <c r="I8" i="7" l="1"/>
  <c r="J8" i="7"/>
  <c r="K8" i="7"/>
  <c r="O8" i="7"/>
  <c r="L8" i="7"/>
  <c r="M8" i="7"/>
  <c r="I15" i="7"/>
  <c r="J15" i="7"/>
  <c r="K15" i="7"/>
  <c r="O15" i="7"/>
  <c r="L15" i="7"/>
  <c r="M15" i="7"/>
  <c r="I7" i="7"/>
  <c r="J7" i="7"/>
  <c r="L7" i="7"/>
  <c r="M7" i="7"/>
  <c r="K7" i="7"/>
  <c r="O7" i="7"/>
  <c r="M10" i="7"/>
  <c r="O10" i="7"/>
  <c r="I10" i="7"/>
  <c r="J10" i="7"/>
  <c r="K10" i="7"/>
  <c r="L10" i="7"/>
  <c r="O14" i="7"/>
  <c r="J14" i="7"/>
  <c r="K14" i="7"/>
  <c r="L14" i="7"/>
  <c r="M14" i="7"/>
  <c r="I14" i="7"/>
  <c r="N14" i="7" s="1"/>
  <c r="K6" i="7"/>
  <c r="M6" i="7"/>
  <c r="L6" i="7"/>
  <c r="I6" i="7"/>
  <c r="O6" i="7"/>
  <c r="J6" i="7"/>
  <c r="J21" i="7"/>
  <c r="O21" i="7"/>
  <c r="L21" i="7"/>
  <c r="M21" i="7"/>
  <c r="I21" i="7"/>
  <c r="K21" i="7"/>
  <c r="O5" i="7"/>
  <c r="M5" i="7"/>
  <c r="I5" i="7"/>
  <c r="J5" i="7"/>
  <c r="K5" i="7"/>
  <c r="L5" i="7"/>
  <c r="K20" i="7"/>
  <c r="L20" i="7"/>
  <c r="O20" i="7"/>
  <c r="M20" i="7"/>
  <c r="I20" i="7"/>
  <c r="J20" i="7"/>
  <c r="O12" i="7"/>
  <c r="J12" i="7"/>
  <c r="K12" i="7"/>
  <c r="L12" i="7"/>
  <c r="M12" i="7"/>
  <c r="I12" i="7"/>
  <c r="O4" i="7"/>
  <c r="I4" i="7"/>
  <c r="J4" i="7"/>
  <c r="K4" i="7"/>
  <c r="L4" i="7"/>
  <c r="M4" i="7"/>
  <c r="K11" i="7"/>
  <c r="L11" i="7"/>
  <c r="O11" i="7"/>
  <c r="I11" i="7"/>
  <c r="J11" i="7"/>
  <c r="M11" i="7"/>
  <c r="I19" i="7"/>
  <c r="J19" i="7"/>
  <c r="K19" i="7"/>
  <c r="L19" i="7"/>
  <c r="M19" i="7"/>
  <c r="I18" i="7"/>
  <c r="J18" i="7"/>
  <c r="K18" i="7"/>
  <c r="M18" i="7"/>
  <c r="L18" i="7"/>
  <c r="M16" i="7"/>
  <c r="L16" i="7"/>
  <c r="O16" i="7"/>
  <c r="K16" i="7"/>
  <c r="I16" i="7"/>
  <c r="J16" i="7"/>
  <c r="J13" i="7"/>
  <c r="L13" i="7"/>
  <c r="O13" i="7"/>
  <c r="K13" i="7"/>
  <c r="M13" i="7"/>
  <c r="I13" i="7"/>
  <c r="N13" i="7" s="1"/>
  <c r="M22" i="7"/>
  <c r="I22" i="7"/>
  <c r="J22" i="7"/>
  <c r="K22" i="7"/>
  <c r="L22" i="7"/>
  <c r="O22" i="7"/>
  <c r="I17" i="7"/>
  <c r="O17" i="7"/>
  <c r="J17" i="7"/>
  <c r="M17" i="7"/>
  <c r="K17" i="7"/>
  <c r="L17" i="7"/>
  <c r="I9" i="7"/>
  <c r="J9" i="7"/>
  <c r="L9" i="7"/>
  <c r="M9" i="7"/>
  <c r="K9" i="7"/>
  <c r="N18" i="7" l="1"/>
  <c r="N11" i="7"/>
  <c r="N4" i="7"/>
  <c r="N17" i="7"/>
  <c r="N9" i="7"/>
  <c r="P9" i="7" s="1"/>
  <c r="D9" i="8" s="1"/>
  <c r="N21" i="7"/>
  <c r="P21" i="7" s="1"/>
  <c r="D21" i="8" s="1"/>
  <c r="N22" i="7"/>
  <c r="P22" i="7" s="1"/>
  <c r="D22" i="8" s="1"/>
  <c r="N16" i="7"/>
  <c r="P16" i="7" s="1"/>
  <c r="D16" i="8" s="1"/>
  <c r="N15" i="7"/>
  <c r="N5" i="7"/>
  <c r="N10" i="7"/>
  <c r="N7" i="7"/>
  <c r="P7" i="7" s="1"/>
  <c r="D7" i="8" s="1"/>
  <c r="N20" i="7"/>
  <c r="P20" i="7" s="1"/>
  <c r="D20" i="8" s="1"/>
  <c r="N12" i="7"/>
  <c r="P12" i="7" s="1"/>
  <c r="D12" i="8" s="1"/>
  <c r="N6" i="7"/>
  <c r="P6" i="7" s="1"/>
  <c r="D6" i="8" s="1"/>
  <c r="N19" i="7"/>
  <c r="P19" i="7" s="1"/>
  <c r="D19" i="8" s="1"/>
  <c r="N8" i="7"/>
  <c r="P14" i="7"/>
  <c r="D14" i="8" s="1"/>
  <c r="P4" i="7"/>
  <c r="D4" i="8" s="1"/>
  <c r="P5" i="7"/>
  <c r="D5" i="8" s="1"/>
  <c r="P11" i="7"/>
  <c r="D11" i="8" s="1"/>
  <c r="P8" i="7"/>
  <c r="D8" i="8" s="1"/>
  <c r="P10" i="7"/>
  <c r="D10" i="8" s="1"/>
  <c r="P15" i="7"/>
  <c r="D15" i="8" s="1"/>
  <c r="P18" i="7"/>
  <c r="D18" i="8" s="1"/>
  <c r="P13" i="7"/>
  <c r="D13" i="8" s="1"/>
  <c r="P17" i="7"/>
  <c r="D17" i="8" s="1"/>
</calcChain>
</file>

<file path=xl/sharedStrings.xml><?xml version="1.0" encoding="utf-8"?>
<sst xmlns="http://schemas.openxmlformats.org/spreadsheetml/2006/main" count="556" uniqueCount="178">
  <si>
    <t>Merge the household and area level indicators adding all the area level indicators to the household level data set.</t>
  </si>
  <si>
    <t>Calculate the percentage of households that are falling under each severity class.</t>
  </si>
  <si>
    <t>Establish the severity score for the area by adding up, from right (severity five) to left, the percentage of households in each severity phase until you reach 25%</t>
  </si>
  <si>
    <t>Sum the percentage of people/HHs with a severity score of 3-5 to determine the number of People in Need (PIN) for each geographical area (district, region, nation) and affected groups (residents, returnees, IDPs), by projecting the percentage on the affected population figures.</t>
  </si>
  <si>
    <t>Indicator</t>
  </si>
  <si>
    <t>Critical</t>
  </si>
  <si>
    <t>Indicator #</t>
  </si>
  <si>
    <t xml:space="preserve"> % of HHs having access to sufficient handwashing facilities</t>
  </si>
  <si>
    <t>% of HHs having sufficient access to a functional and improved sanitation facility</t>
  </si>
  <si>
    <t>% of HHs having access to a sufficient quantity of water for drinking, cooking, bathing, washing or other domestic use</t>
  </si>
  <si>
    <t xml:space="preserve"> % of HHs having access to water sources of sufficient quality and availability</t>
  </si>
  <si>
    <t>% of WASH systems that have been damaged due to natural disaster or conflict since the start of the year/since the shock</t>
  </si>
  <si>
    <t>Level</t>
  </si>
  <si>
    <t>HH</t>
  </si>
  <si>
    <t>Area</t>
  </si>
  <si>
    <t>All basic WASH services are functional in the area</t>
  </si>
  <si>
    <t>Limited damage to critical infrastructure
&lt;20% of systems damaged</t>
  </si>
  <si>
    <t>Serious damage to
critical infrastructure
20-40% of systems damaged</t>
  </si>
  <si>
    <t>Extensive damage to
critical infrastructure
&gt;40% of systems damaged</t>
  </si>
  <si>
    <t>Water system and
services have broken
down/collapsed</t>
  </si>
  <si>
    <t>Soap is available at home BUT no handwashing facility on premises with soap and water</t>
  </si>
  <si>
    <t>Soap is not available at home and no handwashing facility with soap and water on premise</t>
  </si>
  <si>
    <t>Yes</t>
  </si>
  <si>
    <t>Enough water for drinking, cooking, personal hygiene and other domestic purposes OR more than 50 l/d/p</t>
  </si>
  <si>
    <t>Enough water for drinking AND cooking AND personal hygiene, BUT NOT for other domestic purposes OR 15 or more but less than 50 l/d/p</t>
  </si>
  <si>
    <t>Enough water for drinking AND EITHER cooking OR personal hygiene OR 9 or more but less than 15 l/d/p</t>
  </si>
  <si>
    <t>Enough water for drinking BUT NOT for cooking AND personal hygiene OR 3 or more but less than 9 l/d/p</t>
  </si>
  <si>
    <t>Not enough water for drinking OR Less than 3 l/d/p</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</si>
  <si>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</si>
  <si>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</si>
  <si>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</si>
  <si>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</si>
  <si>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</si>
  <si>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Access to improved sanitation facilities, not shared with other households</t>
  </si>
  <si>
    <t>Access to improved sanitation facilities, shared with less than 20 people</t>
  </si>
  <si>
    <t>Access to improved sanitation facilities, shared with more than 20 people</t>
  </si>
  <si>
    <t>Access to unimproved facilities OR access to improved facilities shared with more than 50 people</t>
  </si>
  <si>
    <t>Disposal of human faeces in open spaces or with solid waste</t>
  </si>
  <si>
    <t>Soap is available at home AND handwashing facility is on premises with soap and water available</t>
  </si>
  <si>
    <t>Severity 1</t>
  </si>
  <si>
    <t>Severity 2</t>
  </si>
  <si>
    <t>Severity 3</t>
  </si>
  <si>
    <t>Severity 4</t>
  </si>
  <si>
    <t>Severity 5</t>
  </si>
  <si>
    <t>Household #</t>
  </si>
  <si>
    <t>Population group</t>
  </si>
  <si>
    <t>Data</t>
  </si>
  <si>
    <t>HH 1</t>
  </si>
  <si>
    <t>Area 1</t>
  </si>
  <si>
    <t>IDP</t>
  </si>
  <si>
    <t>HH 2</t>
  </si>
  <si>
    <t>HH 3</t>
  </si>
  <si>
    <t>HH 4</t>
  </si>
  <si>
    <t>HH 5</t>
  </si>
  <si>
    <t>HH 6</t>
  </si>
  <si>
    <t>HH 7</t>
  </si>
  <si>
    <t>HH 8</t>
  </si>
  <si>
    <t>HH 9</t>
  </si>
  <si>
    <t>HH 10</t>
  </si>
  <si>
    <t>HH 11</t>
  </si>
  <si>
    <t>Area 2</t>
  </si>
  <si>
    <t>HH 12</t>
  </si>
  <si>
    <t>HH 13</t>
  </si>
  <si>
    <t>HH 14</t>
  </si>
  <si>
    <t>HH 15</t>
  </si>
  <si>
    <t>HH 16</t>
  </si>
  <si>
    <t>HH 17</t>
  </si>
  <si>
    <t>HH 18</t>
  </si>
  <si>
    <t>HH 19</t>
  </si>
  <si>
    <t>HH 20</t>
  </si>
  <si>
    <t>Host</t>
  </si>
  <si>
    <t>yes</t>
  </si>
  <si>
    <t>no</t>
  </si>
  <si>
    <t>Soap available</t>
  </si>
  <si>
    <t>Water source type</t>
  </si>
  <si>
    <t>Collection time</t>
  </si>
  <si>
    <t>improved</t>
  </si>
  <si>
    <t>unimproved</t>
  </si>
  <si>
    <t>surface</t>
  </si>
  <si>
    <t>premise</t>
  </si>
  <si>
    <t>&lt;30</t>
  </si>
  <si>
    <t>&gt;30</t>
  </si>
  <si>
    <t>Preparing household data and indicators</t>
  </si>
  <si>
    <t>Continue with the same process for all area level indicators</t>
  </si>
  <si>
    <t>Preparing area level data and indicators</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</si>
  <si>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</si>
  <si>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</si>
  <si>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</si>
  <si>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</si>
  <si>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</si>
  <si>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</si>
  <si>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</si>
  <si>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</si>
  <si>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</si>
  <si>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</si>
  <si>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</si>
  <si>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</si>
  <si>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</si>
  <si>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</si>
  <si>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</si>
  <si>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</si>
  <si>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</si>
  <si>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</si>
  <si>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Merge household and area level indicators</t>
  </si>
  <si>
    <t>Indicator 2</t>
  </si>
  <si>
    <t>Indicator 4</t>
  </si>
  <si>
    <t>Indicator 1</t>
  </si>
  <si>
    <t>Indicator 3</t>
  </si>
  <si>
    <t>Indicator 5</t>
  </si>
  <si>
    <t>Organise indicators from highest to lowest</t>
  </si>
  <si>
    <t>Mean of Max 50%</t>
  </si>
  <si>
    <t>Critical indicator</t>
  </si>
  <si>
    <t>Final HH Score</t>
  </si>
  <si>
    <t>Calculate the mean of the 5 highest indicators**</t>
  </si>
  <si>
    <t xml:space="preserve">** If less than 4 indicators, calculate the mean of all indicators. </t>
  </si>
  <si>
    <t>Identify indicators and severity thresholds</t>
  </si>
  <si>
    <t>Identify highest severity score of critical indicators</t>
  </si>
  <si>
    <t>Identify higest severity score of composite and critical indicators</t>
  </si>
  <si>
    <t>Row Labels</t>
  </si>
  <si>
    <t>Grand Total</t>
  </si>
  <si>
    <t>Column Labels</t>
  </si>
  <si>
    <t>Establish final severity score for the area</t>
  </si>
  <si>
    <t>Total Population</t>
  </si>
  <si>
    <t>% of HH by PIN</t>
  </si>
  <si>
    <t>Population by group</t>
  </si>
  <si>
    <t>Count of HH by PIN - by population group</t>
  </si>
  <si>
    <t>Final PIN by Population Group</t>
  </si>
  <si>
    <t>PIN</t>
  </si>
  <si>
    <t>Total</t>
  </si>
  <si>
    <t>Severity</t>
  </si>
  <si>
    <t>Final area severity</t>
  </si>
  <si>
    <t>Finalise severity and PIN</t>
  </si>
  <si>
    <t>Key steps</t>
  </si>
  <si>
    <t>Decide on the indicators and identify potential critical indicators – These can be JIAF indicators and other relevant indicators you have data for.</t>
  </si>
  <si>
    <t>If you have area level data from other sources (WASH, other cluster data, SDR etc.), then calculate the score for each indicator for all the areas/population groups and apply the score to the household data.</t>
  </si>
  <si>
    <t>Count of Final HH Score</t>
  </si>
  <si>
    <t>Total population figure by population group in the area</t>
  </si>
  <si>
    <t>Estimate % of HHs by area and population group that fall in the various severity scores</t>
  </si>
  <si>
    <t>Create pivot table to easily calculate the severity score by area and population group</t>
  </si>
  <si>
    <t>Final Total PIN</t>
  </si>
  <si>
    <t>To get the total PIN figures if you are disaggregating the PIN by population group, you have to start by calculating the PIN by group and sum up to get the total PIN for the area.</t>
  </si>
  <si>
    <t>These are example indicators from the JIAF indicator bank. You can have less (or more) indicators for your sector specific PIN. Also note that you can have other data sources used for the narrative (e.g. qualitative data)</t>
  </si>
  <si>
    <t>Prepare the household level datasets by coding each indicator value to represent the severity score for each household.</t>
  </si>
  <si>
    <t>Establish final PIN by population group and for the whole area</t>
  </si>
  <si>
    <t>To disaggregate by gender and age, apply the % of the population in each group to the final PIN</t>
  </si>
  <si>
    <t>Handwashing facility with water available</t>
  </si>
  <si>
    <t>Calculate HH severity score</t>
  </si>
  <si>
    <t>Data (indicator 1)</t>
  </si>
  <si>
    <t>Severity:
Water quality/
availability</t>
  </si>
  <si>
    <t>Severity:
Handwashing</t>
  </si>
  <si>
    <t>Data (indicator 2)</t>
  </si>
  <si>
    <t>Data (indicator 4)</t>
  </si>
  <si>
    <t>Data (indicator 3)</t>
  </si>
  <si>
    <t>Latrine type</t>
  </si>
  <si>
    <t>HH sharing latrine</t>
  </si>
  <si>
    <t>Severity:
Water quantity</t>
  </si>
  <si>
    <t>Severity:
Sanitation</t>
  </si>
  <si>
    <t>open defecation</t>
  </si>
  <si>
    <t>&lt;20</t>
  </si>
  <si>
    <t>&gt;20</t>
  </si>
  <si>
    <t>&gt;50</t>
  </si>
  <si>
    <t>Water quantity sufficiency (l/p/d)</t>
  </si>
  <si>
    <t>Indicator 1 - Water quantity</t>
  </si>
  <si>
    <t>Indicator 2 - Water quality</t>
  </si>
  <si>
    <t>Indicator 3 - Sanitation</t>
  </si>
  <si>
    <t>Indicator 4 - Hygiene</t>
  </si>
  <si>
    <t>Water system damage</t>
  </si>
  <si>
    <t>Indicator 5:
Water system damage</t>
  </si>
  <si>
    <t>functional</t>
  </si>
  <si>
    <t>serious</t>
  </si>
  <si>
    <t>extensive</t>
  </si>
  <si>
    <t>collapse</t>
  </si>
  <si>
    <t>limited</t>
  </si>
  <si>
    <t>Indicator 5 - Water system damage (area)</t>
  </si>
  <si>
    <t>a) Confirm if any critical indicators have a severity higher than the final WASH severity score. If that is the case, then replace the WASH severity score for that household with the score for the critical indicator.</t>
  </si>
  <si>
    <t>This document is meant to act as a template for the calculation of PIN using scenario A in data rich contexts (your main data source is generalizable at the household-level and you have a good amount of WASH data generally). It is aligned with the intersectoral process  but indicators can be adjusted based on your needs and availability of reliable data. 
Indicators used here are only examples and you can choose to have more or less. Also note that some of your indicators might only be used to support the narrative and you can/should also include qualitative data when possible.</t>
  </si>
  <si>
    <t xml:space="preserve">Classify the indicator values along a five-point scale to determine the indicator severity, where indicator values of 3-5 represent people being in need while 2 or less signifies not being in need. If JIAF indicators are used then apply the same thresholds.  </t>
  </si>
  <si>
    <t>Aggregate the indicator severities using the “Mean of Max 50% of indicators”, if there are more than four indicators, or calculating the mean if there are less than four indicators, to determine the WASH severity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</si>
</sst>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b/>
      <sz val="10"/>
      <color theme="1"/>
      <name val="Calibri"/>
      <family val="2"/>
      <scheme val="minor"/>
    </font>
    <font>
      <u/>
      <sz val="11"/>
      <color theme="10"/>
      <name val="Arial Narrow"/>
      <family val="2"/>
    </font>
  </fonts>
  <fills count="16">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84">
    <xf numFmtId="0" fontId="0" fillId="0" borderId="0" xfId="0"/>
    <xf numFmtId="0" fontId="4" fillId="0" borderId="0" xfId="0" applyFont="1"/>
    <xf numFmtId="0" fontId="6" fillId="0" borderId="0" xfId="0" applyFont="1"/>
    <xf numFmtId="0" fontId="7" fillId="0" borderId="0" xfId="0" applyFont="1" applyAlignment="1">
      <alignment vertical="center"/>
    </xf>
    <xf numFmtId="0" fontId="3" fillId="0" borderId="0" xfId="0" applyFont="1" applyAlignment="1">
      <alignment vertical="center"/>
    </xf>
    <xf numFmtId="0" fontId="8" fillId="2" borderId="1" xfId="0" applyFont="1" applyFill="1" applyBorder="1" applyAlignment="1">
      <alignment vertical="center" wrapText="1"/>
    </xf>
    <xf numFmtId="9" fontId="9" fillId="4"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justify" vertical="center"/>
    </xf>
    <xf numFmtId="0" fontId="10" fillId="9" borderId="4" xfId="0" applyFont="1" applyFill="1" applyBorder="1" applyAlignment="1">
      <alignment wrapText="1"/>
    </xf>
    <xf numFmtId="0" fontId="10" fillId="9" borderId="1" xfId="0" applyFont="1" applyFill="1" applyBorder="1" applyAlignment="1">
      <alignment wrapText="1"/>
    </xf>
    <xf numFmtId="0" fontId="10" fillId="10" borderId="4" xfId="0" applyFont="1" applyFill="1" applyBorder="1" applyAlignment="1">
      <alignment wrapText="1"/>
    </xf>
    <xf numFmtId="0" fontId="10" fillId="10" borderId="1" xfId="0" applyFont="1" applyFill="1" applyBorder="1" applyAlignment="1">
      <alignment wrapText="1"/>
    </xf>
    <xf numFmtId="0" fontId="10" fillId="10" borderId="5" xfId="0" applyFont="1" applyFill="1" applyBorder="1" applyAlignment="1">
      <alignment wrapText="1"/>
    </xf>
    <xf numFmtId="0" fontId="10" fillId="10" borderId="6" xfId="0" applyFont="1" applyFill="1" applyBorder="1" applyAlignment="1">
      <alignment wrapText="1"/>
    </xf>
    <xf numFmtId="0" fontId="8" fillId="11" borderId="1" xfId="0" applyFont="1" applyFill="1" applyBorder="1" applyAlignment="1">
      <alignment vertical="center" wrapText="1"/>
    </xf>
    <xf numFmtId="0" fontId="8" fillId="11" borderId="1" xfId="0" applyFont="1" applyFill="1" applyBorder="1" applyAlignment="1">
      <alignment horizontal="left" vertical="center" wrapText="1"/>
    </xf>
    <xf numFmtId="0" fontId="0" fillId="0" borderId="12" xfId="0" applyBorder="1"/>
    <xf numFmtId="0" fontId="0" fillId="0" borderId="13" xfId="0" applyBorder="1"/>
    <xf numFmtId="0" fontId="8" fillId="11" borderId="4" xfId="0" applyFont="1" applyFill="1" applyBorder="1" applyAlignment="1">
      <alignment horizontal="left" vertical="center" wrapText="1"/>
    </xf>
    <xf numFmtId="0" fontId="8" fillId="11" borderId="10" xfId="0" applyFont="1" applyFill="1" applyBorder="1" applyAlignment="1">
      <alignment vertical="center" wrapText="1"/>
    </xf>
    <xf numFmtId="0" fontId="10" fillId="9" borderId="12" xfId="0" applyFont="1" applyFill="1" applyBorder="1" applyAlignment="1">
      <alignment wrapText="1"/>
    </xf>
    <xf numFmtId="0" fontId="10" fillId="10" borderId="12" xfId="0" applyFont="1" applyFill="1" applyBorder="1" applyAlignment="1">
      <alignment wrapText="1"/>
    </xf>
    <xf numFmtId="0" fontId="10" fillId="10" borderId="13" xfId="0" applyFont="1" applyFill="1" applyBorder="1" applyAlignment="1">
      <alignment wrapText="1"/>
    </xf>
    <xf numFmtId="0" fontId="3" fillId="0" borderId="0" xfId="0" applyFont="1"/>
    <xf numFmtId="0" fontId="7" fillId="0" borderId="0" xfId="0" applyFont="1"/>
    <xf numFmtId="0" fontId="10" fillId="0" borderId="10" xfId="0" applyFont="1" applyBorder="1" applyAlignment="1">
      <alignment horizontal="right" wrapText="1"/>
    </xf>
    <xf numFmtId="0" fontId="10" fillId="0" borderId="1" xfId="0" applyFont="1" applyBorder="1" applyAlignment="1">
      <alignment horizontal="right" wrapText="1"/>
    </xf>
    <xf numFmtId="0" fontId="4" fillId="0" borderId="12" xfId="0" applyFont="1" applyBorder="1"/>
    <xf numFmtId="0" fontId="4" fillId="0" borderId="4" xfId="0" applyFont="1" applyBorder="1" applyAlignment="1">
      <alignment horizontal="right"/>
    </xf>
    <xf numFmtId="0" fontId="4" fillId="0" borderId="1" xfId="0" applyFont="1" applyBorder="1" applyAlignment="1">
      <alignment horizontal="right"/>
    </xf>
    <xf numFmtId="0" fontId="10" fillId="0" borderId="21" xfId="0" applyFont="1" applyBorder="1" applyAlignment="1">
      <alignment horizontal="right" wrapText="1"/>
    </xf>
    <xf numFmtId="0" fontId="4" fillId="0" borderId="13" xfId="0" applyFont="1" applyBorder="1"/>
    <xf numFmtId="0" fontId="4" fillId="0" borderId="5" xfId="0" applyFont="1" applyBorder="1" applyAlignment="1">
      <alignment horizontal="right"/>
    </xf>
    <xf numFmtId="0" fontId="0" fillId="0" borderId="0" xfId="0" applyFill="1"/>
    <xf numFmtId="0" fontId="10" fillId="0" borderId="4" xfId="0" applyFont="1" applyFill="1" applyBorder="1" applyAlignment="1">
      <alignment wrapText="1"/>
    </xf>
    <xf numFmtId="0" fontId="10" fillId="0" borderId="5" xfId="0" applyFont="1" applyFill="1" applyBorder="1" applyAlignment="1">
      <alignment wrapText="1"/>
    </xf>
    <xf numFmtId="0" fontId="10" fillId="9" borderId="5" xfId="0" applyFont="1" applyFill="1" applyBorder="1" applyAlignment="1">
      <alignment wrapText="1"/>
    </xf>
    <xf numFmtId="0" fontId="8" fillId="11" borderId="4" xfId="0" applyFont="1" applyFill="1" applyBorder="1" applyAlignment="1">
      <alignment horizontal="center" vertical="center" wrapText="1"/>
    </xf>
    <xf numFmtId="0" fontId="4" fillId="0" borderId="8" xfId="0" applyFont="1" applyBorder="1"/>
    <xf numFmtId="0" fontId="4" fillId="0" borderId="28" xfId="0" applyFont="1" applyBorder="1"/>
    <xf numFmtId="0" fontId="8" fillId="2" borderId="17"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22" xfId="0" applyFont="1" applyFill="1" applyBorder="1" applyAlignment="1">
      <alignment vertical="center" wrapText="1"/>
    </xf>
    <xf numFmtId="0" fontId="12" fillId="0" borderId="0" xfId="0" applyFont="1"/>
    <xf numFmtId="0" fontId="4" fillId="0" borderId="1" xfId="0" applyFont="1" applyBorder="1"/>
    <xf numFmtId="0" fontId="4" fillId="12" borderId="0" xfId="0" applyFont="1"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4" fillId="0" borderId="0" xfId="0" applyFont="1" applyFill="1" applyBorder="1" applyAlignment="1">
      <alignment wrapText="1"/>
    </xf>
    <xf numFmtId="0" fontId="12" fillId="0" borderId="0" xfId="0" applyFont="1" applyAlignment="1">
      <alignment vertical="center"/>
    </xf>
    <xf numFmtId="0" fontId="12" fillId="6" borderId="24" xfId="0" applyFont="1" applyFill="1" applyBorder="1" applyAlignment="1">
      <alignment wrapText="1"/>
    </xf>
    <xf numFmtId="0" fontId="14" fillId="3" borderId="29" xfId="0" applyFont="1" applyFill="1" applyBorder="1"/>
    <xf numFmtId="0" fontId="14" fillId="3" borderId="14" xfId="0" applyFont="1" applyFill="1" applyBorder="1"/>
    <xf numFmtId="0" fontId="14" fillId="3" borderId="11" xfId="0" applyFont="1" applyFill="1" applyBorder="1"/>
    <xf numFmtId="0" fontId="14" fillId="0" borderId="0" xfId="0" applyFont="1"/>
    <xf numFmtId="0" fontId="14" fillId="0" borderId="4" xfId="0" applyFont="1" applyBorder="1" applyAlignment="1">
      <alignment horizontal="left" indent="1"/>
    </xf>
    <xf numFmtId="9" fontId="6" fillId="0" borderId="1" xfId="0" applyNumberFormat="1" applyFont="1" applyBorder="1"/>
    <xf numFmtId="9" fontId="6" fillId="0" borderId="12" xfId="0" applyNumberFormat="1" applyFont="1" applyBorder="1"/>
    <xf numFmtId="0" fontId="14" fillId="0" borderId="5" xfId="0" applyFont="1" applyBorder="1" applyAlignment="1">
      <alignment horizontal="left" indent="1"/>
    </xf>
    <xf numFmtId="9" fontId="6" fillId="0" borderId="6" xfId="0" applyNumberFormat="1" applyFont="1" applyBorder="1"/>
    <xf numFmtId="9" fontId="6" fillId="0" borderId="13" xfId="0" applyNumberFormat="1" applyFont="1" applyBorder="1"/>
    <xf numFmtId="9" fontId="6" fillId="0" borderId="0" xfId="2" applyFont="1"/>
    <xf numFmtId="0" fontId="6" fillId="0" borderId="0" xfId="0" applyFont="1" applyAlignment="1">
      <alignment horizontal="center"/>
    </xf>
    <xf numFmtId="0" fontId="4" fillId="4" borderId="28" xfId="0" applyFont="1" applyFill="1" applyBorder="1" applyAlignment="1">
      <alignment horizontal="center"/>
    </xf>
    <xf numFmtId="0" fontId="12" fillId="6" borderId="9" xfId="0" applyFont="1" applyFill="1" applyBorder="1"/>
    <xf numFmtId="43" fontId="6" fillId="0" borderId="1" xfId="1" applyFont="1" applyBorder="1"/>
    <xf numFmtId="43" fontId="6" fillId="0" borderId="6" xfId="1" applyFont="1" applyBorder="1"/>
    <xf numFmtId="0" fontId="0" fillId="12" borderId="7" xfId="0" applyFill="1" applyBorder="1" applyAlignment="1">
      <alignment horizontal="center" vertical="center" wrapText="1"/>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19" xfId="0" applyFont="1" applyFill="1" applyBorder="1" applyAlignment="1">
      <alignment horizontal="center" vertical="center"/>
    </xf>
    <xf numFmtId="164" fontId="0" fillId="4" borderId="8" xfId="0" applyNumberFormat="1" applyFill="1" applyBorder="1"/>
    <xf numFmtId="164" fontId="0" fillId="4" borderId="28" xfId="0" applyNumberFormat="1" applyFill="1" applyBorder="1"/>
    <xf numFmtId="164" fontId="6" fillId="0" borderId="1" xfId="1" applyNumberFormat="1" applyFont="1" applyBorder="1"/>
    <xf numFmtId="164" fontId="6" fillId="0" borderId="12" xfId="1" applyNumberFormat="1" applyFont="1" applyBorder="1"/>
    <xf numFmtId="164" fontId="6" fillId="0" borderId="6" xfId="1" applyNumberFormat="1" applyFont="1" applyBorder="1"/>
    <xf numFmtId="164" fontId="6" fillId="0" borderId="13" xfId="1" applyNumberFormat="1" applyFont="1" applyBorder="1"/>
    <xf numFmtId="0" fontId="6" fillId="0" borderId="0" xfId="0" pivotButton="1" applyFont="1"/>
    <xf numFmtId="0" fontId="4" fillId="4" borderId="27" xfId="0" pivotButton="1" applyFont="1" applyFill="1" applyBorder="1" applyAlignment="1">
      <alignment horizontal="center"/>
    </xf>
    <xf numFmtId="3" fontId="6" fillId="14" borderId="1" xfId="0" applyNumberFormat="1" applyFont="1" applyFill="1" applyBorder="1" applyAlignment="1">
      <alignment horizontal="left" indent="1"/>
    </xf>
    <xf numFmtId="0" fontId="2" fillId="0" borderId="1" xfId="0" applyFont="1" applyBorder="1"/>
    <xf numFmtId="0" fontId="2" fillId="15" borderId="0" xfId="0" applyFont="1" applyFill="1" applyBorder="1"/>
    <xf numFmtId="3" fontId="6" fillId="15" borderId="0" xfId="0" applyNumberFormat="1" applyFont="1" applyFill="1" applyBorder="1" applyAlignment="1">
      <alignment horizontal="left" indent="1"/>
    </xf>
    <xf numFmtId="9" fontId="6" fillId="15" borderId="0" xfId="0" applyNumberFormat="1" applyFont="1" applyFill="1" applyBorder="1"/>
    <xf numFmtId="0" fontId="0" fillId="15" borderId="0" xfId="0" applyFill="1"/>
    <xf numFmtId="0" fontId="0" fillId="0" borderId="0" xfId="0" applyFill="1" applyAlignment="1">
      <alignment horizontal="left"/>
    </xf>
    <xf numFmtId="0" fontId="2" fillId="6" borderId="30" xfId="0" applyFont="1" applyFill="1" applyBorder="1" applyAlignment="1">
      <alignment vertical="center" wrapText="1"/>
    </xf>
    <xf numFmtId="164" fontId="0" fillId="4" borderId="1" xfId="0" applyNumberFormat="1" applyFill="1" applyBorder="1"/>
    <xf numFmtId="0" fontId="14" fillId="3" borderId="15" xfId="0" applyFont="1" applyFill="1" applyBorder="1" applyAlignment="1">
      <alignment vertical="center"/>
    </xf>
    <xf numFmtId="0" fontId="14" fillId="3" borderId="16" xfId="0" applyFont="1" applyFill="1" applyBorder="1" applyAlignment="1">
      <alignment vertical="center"/>
    </xf>
    <xf numFmtId="164" fontId="0" fillId="4" borderId="12" xfId="0" applyNumberFormat="1" applyFill="1" applyBorder="1"/>
    <xf numFmtId="3" fontId="6" fillId="14" borderId="6" xfId="0" applyNumberFormat="1" applyFont="1" applyFill="1" applyBorder="1" applyAlignment="1">
      <alignment horizontal="left" indent="1"/>
    </xf>
    <xf numFmtId="164" fontId="0" fillId="4" borderId="6" xfId="0" applyNumberFormat="1" applyFill="1" applyBorder="1"/>
    <xf numFmtId="164" fontId="0" fillId="4" borderId="13" xfId="0" applyNumberFormat="1" applyFill="1" applyBorder="1"/>
    <xf numFmtId="3" fontId="6" fillId="12" borderId="1" xfId="0" applyNumberFormat="1" applyFont="1" applyFill="1" applyBorder="1" applyAlignment="1">
      <alignment horizontal="left" indent="1"/>
    </xf>
    <xf numFmtId="3" fontId="6" fillId="12" borderId="6" xfId="0" applyNumberFormat="1" applyFont="1" applyFill="1" applyBorder="1" applyAlignment="1">
      <alignment horizontal="left" indent="1"/>
    </xf>
    <xf numFmtId="0" fontId="2" fillId="6" borderId="3" xfId="0" applyFont="1" applyFill="1" applyBorder="1" applyAlignment="1">
      <alignment vertical="center"/>
    </xf>
    <xf numFmtId="0" fontId="2" fillId="6" borderId="18" xfId="0" applyFont="1" applyFill="1" applyBorder="1" applyAlignment="1">
      <alignment vertical="center"/>
    </xf>
    <xf numFmtId="0" fontId="15" fillId="0" borderId="0" xfId="3" applyFont="1" applyAlignment="1">
      <alignment vertical="center"/>
    </xf>
    <xf numFmtId="0" fontId="3" fillId="0" borderId="4"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2" xfId="0" applyFont="1" applyBorder="1" applyAlignment="1">
      <alignment horizontal="left" vertical="center" wrapText="1" indent="4"/>
    </xf>
    <xf numFmtId="0" fontId="3" fillId="0" borderId="5" xfId="0" applyFont="1" applyBorder="1" applyAlignment="1">
      <alignment horizontal="center" vertical="center"/>
    </xf>
    <xf numFmtId="0" fontId="3" fillId="0" borderId="13" xfId="0" applyFont="1" applyBorder="1" applyAlignment="1">
      <alignment horizontal="justify" vertical="center" wrapText="1"/>
    </xf>
    <xf numFmtId="0" fontId="4" fillId="0" borderId="0" xfId="0" pivotButton="1" applyFont="1"/>
    <xf numFmtId="9" fontId="4" fillId="0" borderId="0" xfId="2" applyFont="1"/>
    <xf numFmtId="0" fontId="2" fillId="6" borderId="24"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164" fontId="0" fillId="4" borderId="24" xfId="0" applyNumberFormat="1" applyFill="1" applyBorder="1" applyAlignment="1">
      <alignment vertical="center"/>
    </xf>
    <xf numFmtId="0" fontId="0" fillId="4" borderId="26" xfId="0" applyFill="1" applyBorder="1" applyAlignment="1">
      <alignment vertical="center"/>
    </xf>
    <xf numFmtId="0" fontId="4" fillId="15" borderId="1" xfId="0" applyFont="1" applyFill="1" applyBorder="1"/>
    <xf numFmtId="0" fontId="8" fillId="12" borderId="15" xfId="0" applyFont="1" applyFill="1" applyBorder="1" applyAlignment="1">
      <alignment horizont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6" fillId="0" borderId="0" xfId="0" applyFont="1" applyFill="1"/>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right"/>
    </xf>
    <xf numFmtId="0" fontId="10" fillId="0" borderId="6" xfId="0" applyFont="1" applyBorder="1" applyAlignment="1">
      <alignment horizontal="right" wrapText="1"/>
    </xf>
    <xf numFmtId="0" fontId="4" fillId="0" borderId="3" xfId="0" applyFont="1" applyBorder="1"/>
    <xf numFmtId="0" fontId="12" fillId="4" borderId="31" xfId="0" applyFont="1" applyFill="1" applyBorder="1" applyAlignment="1">
      <alignment wrapText="1"/>
    </xf>
    <xf numFmtId="0" fontId="12" fillId="4" borderId="40" xfId="0" applyFont="1" applyFill="1" applyBorder="1" applyAlignment="1">
      <alignment wrapText="1"/>
    </xf>
    <xf numFmtId="0" fontId="12" fillId="6" borderId="32" xfId="0" applyFont="1" applyFill="1" applyBorder="1" applyAlignment="1">
      <alignment wrapText="1"/>
    </xf>
    <xf numFmtId="0" fontId="10" fillId="9" borderId="41" xfId="0" applyFont="1" applyFill="1" applyBorder="1" applyAlignment="1">
      <alignment wrapText="1"/>
    </xf>
    <xf numFmtId="0" fontId="10" fillId="9" borderId="3" xfId="0" applyFont="1" applyFill="1" applyBorder="1" applyAlignment="1">
      <alignment wrapText="1"/>
    </xf>
    <xf numFmtId="0" fontId="10" fillId="9" borderId="18" xfId="0" applyFont="1" applyFill="1" applyBorder="1" applyAlignment="1">
      <alignment wrapText="1"/>
    </xf>
    <xf numFmtId="0" fontId="4" fillId="0" borderId="27" xfId="0" applyFont="1" applyBorder="1"/>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8" fillId="2" borderId="9" xfId="0" applyFont="1" applyFill="1" applyBorder="1" applyAlignment="1">
      <alignment vertical="center" wrapText="1"/>
    </xf>
    <xf numFmtId="0" fontId="8" fillId="2" borderId="44" xfId="0" applyFont="1" applyFill="1" applyBorder="1" applyAlignment="1">
      <alignment vertical="center" wrapText="1"/>
    </xf>
    <xf numFmtId="0" fontId="9" fillId="13" borderId="43" xfId="0" applyFont="1" applyFill="1" applyBorder="1" applyAlignment="1">
      <alignment horizontal="center" vertical="center"/>
    </xf>
    <xf numFmtId="0" fontId="9" fillId="13" borderId="45" xfId="0" applyFont="1" applyFill="1" applyBorder="1" applyAlignment="1">
      <alignment horizontal="center" vertical="center"/>
    </xf>
    <xf numFmtId="0" fontId="4" fillId="0" borderId="18" xfId="0" applyFont="1" applyBorder="1"/>
    <xf numFmtId="0" fontId="4" fillId="0" borderId="6" xfId="0" applyFont="1" applyBorder="1"/>
    <xf numFmtId="164" fontId="0" fillId="4" borderId="30" xfId="0" applyNumberFormat="1" applyFill="1" applyBorder="1"/>
    <xf numFmtId="0" fontId="3" fillId="12" borderId="31"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11" fillId="3" borderId="29" xfId="0" applyFont="1" applyFill="1" applyBorder="1" applyAlignment="1">
      <alignment horizontal="center" vertical="center"/>
    </xf>
    <xf numFmtId="0" fontId="11" fillId="3" borderId="11" xfId="0" applyFont="1" applyFill="1" applyBorder="1" applyAlignment="1">
      <alignment horizontal="center" vertical="center"/>
    </xf>
    <xf numFmtId="0" fontId="4" fillId="12"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12" borderId="20" xfId="0" applyFont="1" applyFill="1" applyBorder="1" applyAlignment="1">
      <alignment horizontal="center"/>
    </xf>
    <xf numFmtId="0" fontId="8" fillId="12" borderId="16" xfId="0" applyFont="1" applyFill="1" applyBorder="1" applyAlignment="1">
      <alignment horizontal="center"/>
    </xf>
    <xf numFmtId="0" fontId="8" fillId="12" borderId="15" xfId="0" applyFont="1" applyFill="1" applyBorder="1" applyAlignment="1">
      <alignment horizont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4" fillId="12" borderId="0" xfId="0" applyFont="1" applyFill="1" applyBorder="1" applyAlignment="1">
      <alignment horizontal="center" vertical="center" wrapText="1"/>
    </xf>
    <xf numFmtId="0" fontId="4" fillId="12" borderId="0" xfId="0" applyFont="1" applyFill="1" applyAlignment="1">
      <alignment horizontal="center" vertical="center"/>
    </xf>
    <xf numFmtId="0" fontId="0" fillId="12" borderId="0" xfId="0" applyFont="1" applyFill="1" applyAlignment="1">
      <alignment horizontal="center" vertical="center" wrapText="1"/>
    </xf>
    <xf numFmtId="0" fontId="0" fillId="12" borderId="7" xfId="0" applyFill="1" applyBorder="1" applyAlignment="1">
      <alignment horizontal="center" vertical="center"/>
    </xf>
    <xf numFmtId="0" fontId="0" fillId="12" borderId="23" xfId="0" applyFill="1" applyBorder="1" applyAlignment="1">
      <alignment horizontal="center" vertical="center"/>
    </xf>
    <xf numFmtId="0" fontId="0" fillId="12" borderId="10" xfId="0" applyFill="1" applyBorder="1" applyAlignment="1">
      <alignment horizontal="center" vertical="center"/>
    </xf>
    <xf numFmtId="0" fontId="0" fillId="12" borderId="7" xfId="0" applyFill="1" applyBorder="1" applyAlignment="1">
      <alignment horizontal="center"/>
    </xf>
    <xf numFmtId="0" fontId="0" fillId="12" borderId="23" xfId="0" applyFill="1" applyBorder="1" applyAlignment="1">
      <alignment horizontal="center"/>
    </xf>
    <xf numFmtId="0" fontId="0" fillId="12" borderId="10" xfId="0" applyFill="1" applyBorder="1" applyAlignment="1">
      <alignment horizontal="center"/>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8" xfId="0" applyFont="1" applyBorder="1" applyAlignment="1">
      <alignment horizontal="center" wrapText="1"/>
    </xf>
    <xf numFmtId="0" fontId="6" fillId="0" borderId="0" xfId="0" applyFont="1" applyBorder="1" applyAlignment="1">
      <alignment horizontal="center" wrapText="1"/>
    </xf>
    <xf numFmtId="0" fontId="6" fillId="0" borderId="39" xfId="0" applyFont="1" applyBorder="1" applyAlignment="1">
      <alignment horizontal="center" wrapText="1"/>
    </xf>
    <xf numFmtId="0" fontId="6" fillId="0" borderId="36" xfId="0" applyFont="1" applyBorder="1" applyAlignment="1">
      <alignment horizontal="center" wrapText="1"/>
    </xf>
    <xf numFmtId="0" fontId="6" fillId="0" borderId="2" xfId="0" applyFont="1" applyBorder="1" applyAlignment="1">
      <alignment horizontal="center" wrapText="1"/>
    </xf>
    <xf numFmtId="0" fontId="6" fillId="0" borderId="37" xfId="0" applyFont="1" applyBorder="1" applyAlignment="1">
      <alignment horizontal="center" wrapText="1"/>
    </xf>
  </cellXfs>
  <cellStyles count="4">
    <cellStyle name="Comma" xfId="1" builtinId="3"/>
    <cellStyle name="Hyperlink" xfId="3" builtinId="8"/>
    <cellStyle name="Normal" xfId="0" builtinId="0"/>
    <cellStyle name="Percent" xfId="2" builtinId="5"/>
  </cellStyles>
  <dxfs count="60">
    <dxf>
      <numFmt numFmtId="13" formatCode="0%"/>
    </dxf>
    <dxf>
      <numFmt numFmtId="13" formatCode="0%"/>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009999"/>
      <color rgb="FF8CBFBF"/>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718.650237499998" createdVersion="6" refreshedVersion="6" minRefreshableVersion="3" recordCount="20" xr:uid="{E52CAB37-FB7B-494F-A703-C3143C25C795}">
  <cacheSource type="worksheet">
    <worksheetSource ref="B2:D22" sheet="Step 7"/>
  </cacheSource>
  <cacheFields count="3">
    <cacheField name="Area" numFmtId="0">
      <sharedItems count="2">
        <s v="Area 1"/>
        <s v="Area 2"/>
      </sharedItems>
    </cacheField>
    <cacheField name="Population group" numFmtId="0">
      <sharedItems count="2">
        <s v="IDP"/>
        <s v="Host"/>
      </sharedItems>
    </cacheField>
    <cacheField name="Final HH Score" numFmtId="0">
      <sharedItems containsSemiMixedTypes="0" containsString="0" containsNumber="1" containsInteger="1" minValue="1" maxValue="5" count="5">
        <n v="1"/>
        <n v="3"/>
        <n v="5"/>
        <n v="4"/>
        <n v="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r>
  <r>
    <x v="0"/>
    <x v="0"/>
    <x v="1"/>
  </r>
  <r>
    <x v="0"/>
    <x v="0"/>
    <x v="2"/>
  </r>
  <r>
    <x v="0"/>
    <x v="0"/>
    <x v="3"/>
  </r>
  <r>
    <x v="0"/>
    <x v="0"/>
    <x v="3"/>
  </r>
  <r>
    <x v="0"/>
    <x v="1"/>
    <x v="4"/>
  </r>
  <r>
    <x v="0"/>
    <x v="1"/>
    <x v="1"/>
  </r>
  <r>
    <x v="0"/>
    <x v="1"/>
    <x v="1"/>
  </r>
  <r>
    <x v="0"/>
    <x v="1"/>
    <x v="4"/>
  </r>
  <r>
    <x v="0"/>
    <x v="1"/>
    <x v="3"/>
  </r>
  <r>
    <x v="1"/>
    <x v="0"/>
    <x v="1"/>
  </r>
  <r>
    <x v="1"/>
    <x v="0"/>
    <x v="2"/>
  </r>
  <r>
    <x v="1"/>
    <x v="0"/>
    <x v="3"/>
  </r>
  <r>
    <x v="1"/>
    <x v="0"/>
    <x v="1"/>
  </r>
  <r>
    <x v="1"/>
    <x v="0"/>
    <x v="4"/>
  </r>
  <r>
    <x v="1"/>
    <x v="1"/>
    <x v="4"/>
  </r>
  <r>
    <x v="1"/>
    <x v="1"/>
    <x v="2"/>
  </r>
  <r>
    <x v="1"/>
    <x v="1"/>
    <x v="3"/>
  </r>
  <r>
    <x v="1"/>
    <x v="1"/>
    <x v="1"/>
  </r>
  <r>
    <x v="1"/>
    <x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1FAA21-28A0-4672-BA9C-A5FDC542E77D}" name="PivotTable8" cacheId="7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M11" firstHeaderRow="1" firstDataRow="2" firstDataCol="1"/>
  <pivotFields count="3">
    <pivotField axis="axisRow" showAll="0">
      <items count="3">
        <item x="0"/>
        <item x="1"/>
        <item t="default"/>
      </items>
    </pivotField>
    <pivotField axis="axisRow" showAll="0">
      <items count="3">
        <item x="1"/>
        <item x="0"/>
        <item t="default"/>
      </items>
    </pivotField>
    <pivotField axis="axisCol" dataField="1" showAll="0">
      <items count="6">
        <item x="0"/>
        <item x="4"/>
        <item x="1"/>
        <item x="3"/>
        <item x="2"/>
        <item t="default"/>
      </items>
    </pivotField>
  </pivotFields>
  <rowFields count="2">
    <field x="0"/>
    <field x="1"/>
  </rowFields>
  <rowItems count="7">
    <i>
      <x/>
    </i>
    <i r="1">
      <x/>
    </i>
    <i r="1">
      <x v="1"/>
    </i>
    <i>
      <x v="1"/>
    </i>
    <i r="1">
      <x/>
    </i>
    <i r="1">
      <x v="1"/>
    </i>
    <i t="grand">
      <x/>
    </i>
  </rowItems>
  <colFields count="1">
    <field x="2"/>
  </colFields>
  <colItems count="6">
    <i>
      <x/>
    </i>
    <i>
      <x v="1"/>
    </i>
    <i>
      <x v="2"/>
    </i>
    <i>
      <x v="3"/>
    </i>
    <i>
      <x v="4"/>
    </i>
    <i t="grand">
      <x/>
    </i>
  </colItems>
  <dataFields count="1">
    <dataField name="Count of Final HH Score" fld="2" subtotal="count" showDataAs="percentOfRow" baseField="0" baseItem="0" numFmtId="9"/>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B14"/>
  <sheetViews>
    <sheetView workbookViewId="0">
      <selection activeCell="B19" sqref="B19"/>
    </sheetView>
  </sheetViews>
  <sheetFormatPr defaultRowHeight="14" x14ac:dyDescent="0.3"/>
  <cols>
    <col min="1" max="1" width="7.7265625" style="28" customWidth="1"/>
    <col min="2" max="2" width="95.6328125" style="28" customWidth="1"/>
    <col min="3" max="16384" width="8.7265625" style="28"/>
  </cols>
  <sheetData>
    <row r="1" spans="1:2" ht="74.5" customHeight="1" thickBot="1" x14ac:dyDescent="0.35">
      <c r="A1" s="147" t="s">
        <v>175</v>
      </c>
      <c r="B1" s="148"/>
    </row>
    <row r="2" spans="1:2" ht="14.5" thickBot="1" x14ac:dyDescent="0.35">
      <c r="A2" s="4"/>
      <c r="B2" s="12"/>
    </row>
    <row r="3" spans="1:2" x14ac:dyDescent="0.3">
      <c r="A3" s="149" t="s">
        <v>132</v>
      </c>
      <c r="B3" s="150"/>
    </row>
    <row r="4" spans="1:2" ht="28" x14ac:dyDescent="0.3">
      <c r="A4" s="107">
        <v>1</v>
      </c>
      <c r="B4" s="108" t="s">
        <v>133</v>
      </c>
    </row>
    <row r="5" spans="1:2" ht="28" x14ac:dyDescent="0.3">
      <c r="A5" s="107">
        <v>2</v>
      </c>
      <c r="B5" s="108" t="s">
        <v>176</v>
      </c>
    </row>
    <row r="6" spans="1:2" x14ac:dyDescent="0.3">
      <c r="A6" s="107">
        <v>3</v>
      </c>
      <c r="B6" s="108" t="s">
        <v>142</v>
      </c>
    </row>
    <row r="7" spans="1:2" ht="28" x14ac:dyDescent="0.3">
      <c r="A7" s="107">
        <v>4</v>
      </c>
      <c r="B7" s="108" t="s">
        <v>134</v>
      </c>
    </row>
    <row r="8" spans="1:2" x14ac:dyDescent="0.3">
      <c r="A8" s="107">
        <v>5</v>
      </c>
      <c r="B8" s="108" t="s">
        <v>0</v>
      </c>
    </row>
    <row r="9" spans="1:2" ht="28" x14ac:dyDescent="0.3">
      <c r="A9" s="107">
        <v>6</v>
      </c>
      <c r="B9" s="109" t="s">
        <v>177</v>
      </c>
    </row>
    <row r="10" spans="1:2" ht="28" x14ac:dyDescent="0.3">
      <c r="A10" s="107"/>
      <c r="B10" s="110" t="s">
        <v>174</v>
      </c>
    </row>
    <row r="11" spans="1:2" x14ac:dyDescent="0.3">
      <c r="A11" s="107">
        <v>7</v>
      </c>
      <c r="B11" s="109" t="s">
        <v>1</v>
      </c>
    </row>
    <row r="12" spans="1:2" ht="28" x14ac:dyDescent="0.3">
      <c r="A12" s="107">
        <v>8</v>
      </c>
      <c r="B12" s="109" t="s">
        <v>2</v>
      </c>
    </row>
    <row r="13" spans="1:2" ht="42.5" thickBot="1" x14ac:dyDescent="0.35">
      <c r="A13" s="111">
        <v>9</v>
      </c>
      <c r="B13" s="112" t="s">
        <v>3</v>
      </c>
    </row>
    <row r="14" spans="1:2" x14ac:dyDescent="0.3">
      <c r="B14" s="106"/>
    </row>
  </sheetData>
  <mergeCells count="2">
    <mergeCell ref="A1:B1"/>
    <mergeCell ref="A3:B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28A5-A48E-4847-8F45-CC0D5B454350}">
  <dimension ref="A1:F10"/>
  <sheetViews>
    <sheetView workbookViewId="0"/>
  </sheetViews>
  <sheetFormatPr defaultRowHeight="14.5" x14ac:dyDescent="0.35"/>
  <cols>
    <col min="2" max="2" width="13.7265625" bestFit="1" customWidth="1"/>
    <col min="3" max="3" width="13.7265625" customWidth="1"/>
    <col min="4" max="4" width="13.7265625" bestFit="1" customWidth="1"/>
    <col min="5" max="5" width="10" bestFit="1" customWidth="1"/>
  </cols>
  <sheetData>
    <row r="1" spans="1:6" x14ac:dyDescent="0.35">
      <c r="A1" s="57" t="s">
        <v>131</v>
      </c>
    </row>
    <row r="3" spans="1:6" ht="15" thickBot="1" x14ac:dyDescent="0.4">
      <c r="D3" s="172" t="s">
        <v>127</v>
      </c>
      <c r="E3" s="173"/>
      <c r="F3" s="174"/>
    </row>
    <row r="4" spans="1:6" x14ac:dyDescent="0.35">
      <c r="A4" s="96" t="s">
        <v>14</v>
      </c>
      <c r="B4" s="97" t="s">
        <v>122</v>
      </c>
      <c r="C4" s="97" t="s">
        <v>129</v>
      </c>
      <c r="D4" s="104" t="s">
        <v>128</v>
      </c>
      <c r="E4" s="104" t="s">
        <v>70</v>
      </c>
      <c r="F4" s="105" t="s">
        <v>49</v>
      </c>
    </row>
    <row r="5" spans="1:6" x14ac:dyDescent="0.35">
      <c r="A5" s="63" t="s">
        <v>48</v>
      </c>
      <c r="B5" s="87">
        <v>1500000</v>
      </c>
      <c r="C5" s="102">
        <f>'Step 8'!H4</f>
        <v>4</v>
      </c>
      <c r="D5" s="95">
        <f>'Step 9'!P7</f>
        <v>1000000</v>
      </c>
      <c r="E5" s="95">
        <f>'Step 9'!O7</f>
        <v>600000</v>
      </c>
      <c r="F5" s="98">
        <f>'Step 9'!O8</f>
        <v>400000</v>
      </c>
    </row>
    <row r="6" spans="1:6" ht="15" thickBot="1" x14ac:dyDescent="0.4">
      <c r="A6" s="66" t="s">
        <v>60</v>
      </c>
      <c r="B6" s="99">
        <v>750000</v>
      </c>
      <c r="C6" s="103">
        <f>'Step 8'!H5</f>
        <v>5</v>
      </c>
      <c r="D6" s="100">
        <f>'Step 9'!P11</f>
        <v>600000</v>
      </c>
      <c r="E6" s="100">
        <f>'Step 9'!O11</f>
        <v>560000</v>
      </c>
      <c r="F6" s="101">
        <f>'Step 9'!O12</f>
        <v>40000</v>
      </c>
    </row>
    <row r="8" spans="1:6" ht="14.5" customHeight="1" x14ac:dyDescent="0.35">
      <c r="D8" s="175" t="s">
        <v>144</v>
      </c>
      <c r="E8" s="176"/>
      <c r="F8" s="177"/>
    </row>
    <row r="9" spans="1:6" x14ac:dyDescent="0.35">
      <c r="D9" s="178"/>
      <c r="E9" s="179"/>
      <c r="F9" s="180"/>
    </row>
    <row r="10" spans="1:6" x14ac:dyDescent="0.35">
      <c r="D10" s="181"/>
      <c r="E10" s="182"/>
      <c r="F10" s="183"/>
    </row>
  </sheetData>
  <mergeCells count="2">
    <mergeCell ref="D3:F3"/>
    <mergeCell ref="D8:F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J8"/>
  <sheetViews>
    <sheetView topLeftCell="A7" zoomScaleNormal="100" workbookViewId="0">
      <selection activeCell="E28" sqref="E28"/>
    </sheetView>
  </sheetViews>
  <sheetFormatPr defaultRowHeight="14.5" x14ac:dyDescent="0.35"/>
  <cols>
    <col min="1" max="1" width="6.453125" customWidth="1"/>
    <col min="2" max="2" width="47.7265625" customWidth="1"/>
    <col min="5" max="9" width="17.6328125" customWidth="1"/>
  </cols>
  <sheetData>
    <row r="1" spans="1:10" ht="30" customHeight="1" x14ac:dyDescent="0.35">
      <c r="A1" s="3" t="s">
        <v>115</v>
      </c>
      <c r="B1" s="4"/>
      <c r="C1" s="4"/>
      <c r="D1" s="4"/>
      <c r="E1" s="4"/>
      <c r="F1" s="4"/>
      <c r="G1" s="4"/>
      <c r="H1" s="4"/>
      <c r="I1" s="4"/>
    </row>
    <row r="2" spans="1:10" ht="41" customHeight="1" x14ac:dyDescent="0.35">
      <c r="A2" s="3"/>
      <c r="B2" s="151" t="s">
        <v>141</v>
      </c>
      <c r="C2" s="151"/>
      <c r="D2" s="151"/>
      <c r="E2" s="4"/>
      <c r="F2" s="4"/>
      <c r="G2" s="4"/>
      <c r="H2" s="4"/>
      <c r="I2" s="4"/>
    </row>
    <row r="3" spans="1:10" ht="26" x14ac:dyDescent="0.35">
      <c r="A3" s="5" t="s">
        <v>6</v>
      </c>
      <c r="B3" s="5" t="s">
        <v>4</v>
      </c>
      <c r="C3" s="5" t="s">
        <v>12</v>
      </c>
      <c r="D3" s="5" t="s">
        <v>5</v>
      </c>
      <c r="E3" s="6" t="s">
        <v>39</v>
      </c>
      <c r="F3" s="7" t="s">
        <v>40</v>
      </c>
      <c r="G3" s="8" t="s">
        <v>41</v>
      </c>
      <c r="H3" s="9" t="s">
        <v>42</v>
      </c>
      <c r="I3" s="10" t="s">
        <v>43</v>
      </c>
    </row>
    <row r="4" spans="1:10" ht="91" x14ac:dyDescent="0.35">
      <c r="A4" s="116">
        <v>1</v>
      </c>
      <c r="B4" s="117" t="s">
        <v>9</v>
      </c>
      <c r="C4" s="116" t="s">
        <v>13</v>
      </c>
      <c r="D4" s="116" t="s">
        <v>22</v>
      </c>
      <c r="E4" s="117" t="s">
        <v>23</v>
      </c>
      <c r="F4" s="117" t="s">
        <v>24</v>
      </c>
      <c r="G4" s="117" t="s">
        <v>25</v>
      </c>
      <c r="H4" s="117" t="s">
        <v>26</v>
      </c>
      <c r="I4" s="117" t="s">
        <v>27</v>
      </c>
      <c r="J4" s="2"/>
    </row>
    <row r="5" spans="1:10" ht="78" x14ac:dyDescent="0.35">
      <c r="A5" s="116">
        <v>2</v>
      </c>
      <c r="B5" s="117" t="s">
        <v>10</v>
      </c>
      <c r="C5" s="116" t="s">
        <v>13</v>
      </c>
      <c r="D5" s="116"/>
      <c r="E5" s="117" t="s">
        <v>28</v>
      </c>
      <c r="F5" s="117" t="s">
        <v>29</v>
      </c>
      <c r="G5" s="117" t="s">
        <v>30</v>
      </c>
      <c r="H5" s="117" t="s">
        <v>31</v>
      </c>
      <c r="I5" s="117" t="s">
        <v>32</v>
      </c>
      <c r="J5" s="2"/>
    </row>
    <row r="6" spans="1:10" ht="65" x14ac:dyDescent="0.35">
      <c r="A6" s="116">
        <v>3</v>
      </c>
      <c r="B6" s="117" t="s">
        <v>8</v>
      </c>
      <c r="C6" s="116" t="s">
        <v>13</v>
      </c>
      <c r="D6" s="116"/>
      <c r="E6" s="117" t="s">
        <v>33</v>
      </c>
      <c r="F6" s="117" t="s">
        <v>34</v>
      </c>
      <c r="G6" s="117" t="s">
        <v>35</v>
      </c>
      <c r="H6" s="117" t="s">
        <v>36</v>
      </c>
      <c r="I6" s="117" t="s">
        <v>37</v>
      </c>
      <c r="J6" s="2"/>
    </row>
    <row r="7" spans="1:10" s="38" customFormat="1" ht="65" x14ac:dyDescent="0.35">
      <c r="A7" s="122">
        <v>4</v>
      </c>
      <c r="B7" s="123" t="s">
        <v>7</v>
      </c>
      <c r="C7" s="122" t="s">
        <v>13</v>
      </c>
      <c r="D7" s="122"/>
      <c r="E7" s="123" t="s">
        <v>38</v>
      </c>
      <c r="F7" s="123"/>
      <c r="G7" s="123" t="s">
        <v>20</v>
      </c>
      <c r="H7" s="123"/>
      <c r="I7" s="123" t="s">
        <v>21</v>
      </c>
      <c r="J7" s="124"/>
    </row>
    <row r="8" spans="1:10" s="38" customFormat="1" ht="52" x14ac:dyDescent="0.35">
      <c r="A8" s="122">
        <v>5</v>
      </c>
      <c r="B8" s="123" t="s">
        <v>11</v>
      </c>
      <c r="C8" s="122" t="s">
        <v>14</v>
      </c>
      <c r="D8" s="122"/>
      <c r="E8" s="123" t="s">
        <v>15</v>
      </c>
      <c r="F8" s="123" t="s">
        <v>16</v>
      </c>
      <c r="G8" s="123" t="s">
        <v>17</v>
      </c>
      <c r="H8" s="123" t="s">
        <v>18</v>
      </c>
      <c r="I8" s="123" t="s">
        <v>19</v>
      </c>
      <c r="J8" s="124"/>
    </row>
  </sheetData>
  <autoFilter ref="A3:I3" xr:uid="{6D6C0137-CBAF-4600-BCDB-AFCE7C508AF5}">
    <sortState xmlns:xlrd2="http://schemas.microsoft.com/office/spreadsheetml/2017/richdata2" ref="A4:I13">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N27"/>
  <sheetViews>
    <sheetView workbookViewId="0">
      <selection activeCell="N23" sqref="N4:N23"/>
    </sheetView>
  </sheetViews>
  <sheetFormatPr defaultRowHeight="14.5" x14ac:dyDescent="0.35"/>
  <cols>
    <col min="3" max="3" width="9.90625" customWidth="1"/>
    <col min="4" max="4" width="13.453125" bestFit="1" customWidth="1"/>
    <col min="5" max="5" width="10.90625" bestFit="1" customWidth="1"/>
    <col min="6" max="6" width="11.26953125" bestFit="1" customWidth="1"/>
    <col min="7" max="7" width="11.1796875" customWidth="1"/>
    <col min="8" max="8" width="10.90625" bestFit="1" customWidth="1"/>
    <col min="9" max="9" width="10.90625" customWidth="1"/>
    <col min="10" max="10" width="11.36328125" customWidth="1"/>
    <col min="11" max="11" width="12.453125" customWidth="1"/>
    <col min="12" max="12" width="10.90625" customWidth="1"/>
    <col min="13" max="13" width="11.36328125" customWidth="1"/>
    <col min="14" max="14" width="12.453125" customWidth="1"/>
  </cols>
  <sheetData>
    <row r="1" spans="1:14" ht="16" thickBot="1" x14ac:dyDescent="0.4">
      <c r="A1" s="29" t="s">
        <v>82</v>
      </c>
      <c r="B1" s="28"/>
      <c r="C1" s="28"/>
      <c r="D1" s="28"/>
      <c r="E1" s="28"/>
      <c r="F1" s="28"/>
      <c r="G1" s="28"/>
      <c r="H1" s="28"/>
      <c r="I1" s="28"/>
      <c r="J1" s="28"/>
      <c r="K1" s="28"/>
      <c r="L1" s="28"/>
      <c r="M1" s="28"/>
      <c r="N1" s="28"/>
    </row>
    <row r="2" spans="1:14" x14ac:dyDescent="0.35">
      <c r="A2" s="154" t="s">
        <v>44</v>
      </c>
      <c r="B2" s="158" t="s">
        <v>14</v>
      </c>
      <c r="C2" s="156" t="s">
        <v>45</v>
      </c>
      <c r="D2" s="121" t="s">
        <v>147</v>
      </c>
      <c r="E2" s="152" t="s">
        <v>155</v>
      </c>
      <c r="F2" s="162" t="s">
        <v>150</v>
      </c>
      <c r="G2" s="161"/>
      <c r="H2" s="152" t="s">
        <v>148</v>
      </c>
      <c r="I2" s="160" t="s">
        <v>152</v>
      </c>
      <c r="J2" s="161"/>
      <c r="K2" s="152" t="s">
        <v>156</v>
      </c>
      <c r="L2" s="160" t="s">
        <v>151</v>
      </c>
      <c r="M2" s="161"/>
      <c r="N2" s="152" t="s">
        <v>149</v>
      </c>
    </row>
    <row r="3" spans="1:14" ht="39" x14ac:dyDescent="0.35">
      <c r="A3" s="155"/>
      <c r="B3" s="159"/>
      <c r="C3" s="157"/>
      <c r="D3" s="23" t="s">
        <v>161</v>
      </c>
      <c r="E3" s="153"/>
      <c r="F3" s="23" t="s">
        <v>74</v>
      </c>
      <c r="G3" s="20" t="s">
        <v>75</v>
      </c>
      <c r="H3" s="153"/>
      <c r="I3" s="24" t="s">
        <v>153</v>
      </c>
      <c r="J3" s="19" t="s">
        <v>154</v>
      </c>
      <c r="K3" s="153"/>
      <c r="L3" s="24" t="s">
        <v>73</v>
      </c>
      <c r="M3" s="19" t="s">
        <v>145</v>
      </c>
      <c r="N3" s="153"/>
    </row>
    <row r="4" spans="1:14" x14ac:dyDescent="0.35">
      <c r="A4" s="13" t="s">
        <v>47</v>
      </c>
      <c r="B4" s="14" t="s">
        <v>48</v>
      </c>
      <c r="C4" s="25" t="s">
        <v>49</v>
      </c>
      <c r="D4" s="125">
        <v>50</v>
      </c>
      <c r="E4" s="32">
        <f>IF(D4&gt;=50,1,IF(D4&gt;=15,2,IF(D4&gt;=9,3,IF(D4&gt;=3,4,IF(D4&lt;3,5,"")))))</f>
        <v>1</v>
      </c>
      <c r="F4" s="33" t="s">
        <v>76</v>
      </c>
      <c r="G4" s="34" t="s">
        <v>79</v>
      </c>
      <c r="H4" s="32">
        <f t="shared" ref="H4:H23" si="0">IF(AND(F4="improved",G4="premise"),1,IF(AND(F4="improved",G4="&lt;30"),2,IF(AND(F4="improved",G4="&gt;30"),3,IF(F4="unimproved",4,IF(F4="surface",5,"")))))</f>
        <v>1</v>
      </c>
      <c r="I4" s="33" t="s">
        <v>76</v>
      </c>
      <c r="J4" s="31" t="s">
        <v>158</v>
      </c>
      <c r="K4" s="32">
        <f>IF(AND(I4="improved",J4="no"),1,IF(AND(I4="improved",J4="&lt;20"),2,IF(AND(I4="improved",J4="&gt;20"),3,IF(I4="unimproved",4,IF(AND(I4="improved",J4="&gt;50"),4,IF(I4="open defecation",5,""))))))</f>
        <v>2</v>
      </c>
      <c r="L4" s="30" t="s">
        <v>71</v>
      </c>
      <c r="M4" s="31" t="s">
        <v>71</v>
      </c>
      <c r="N4" s="32">
        <f>IF(AND(L4="yes",M4="yes"),1,IF(AND(L4="yes",M4="no"),3,IF(AND(L4="no",M4="no"),5,5)))</f>
        <v>1</v>
      </c>
    </row>
    <row r="5" spans="1:14" x14ac:dyDescent="0.35">
      <c r="A5" s="13" t="s">
        <v>50</v>
      </c>
      <c r="B5" s="14" t="s">
        <v>48</v>
      </c>
      <c r="C5" s="25" t="s">
        <v>49</v>
      </c>
      <c r="D5" s="125">
        <v>65</v>
      </c>
      <c r="E5" s="32">
        <f t="shared" ref="E5:E23" si="1">IF(D5&gt;=50,1,IF(D5&gt;=15,2,IF(D5&gt;=9,3,IF(D5&gt;=3,4,IF(D5&lt;3,5,"")))))</f>
        <v>1</v>
      </c>
      <c r="F5" s="33" t="s">
        <v>76</v>
      </c>
      <c r="G5" s="34" t="s">
        <v>79</v>
      </c>
      <c r="H5" s="32">
        <f t="shared" si="0"/>
        <v>1</v>
      </c>
      <c r="I5" s="33" t="s">
        <v>77</v>
      </c>
      <c r="J5" s="31" t="s">
        <v>160</v>
      </c>
      <c r="K5" s="32">
        <f t="shared" ref="K5:K23" si="2">IF(AND(I5="improved",J5="no"),1,IF(AND(I5="improved",J5="&lt;20"),2,IF(AND(I5="improved",J5="&gt;20"),3,IF(I5="unimproved",4,IF(AND(I5="improved",J5="&gt;50"),4,IF(I5="open defecation",5,""))))))</f>
        <v>4</v>
      </c>
      <c r="L5" s="30" t="s">
        <v>71</v>
      </c>
      <c r="M5" s="31" t="s">
        <v>72</v>
      </c>
      <c r="N5" s="32">
        <f t="shared" ref="N5:N23" si="3">IF(AND(L5="yes",M5="yes"),1,IF(AND(L5="yes",M5="no"),3,IF(AND(L5="no",M5="no"),5,5)))</f>
        <v>3</v>
      </c>
    </row>
    <row r="6" spans="1:14" x14ac:dyDescent="0.35">
      <c r="A6" s="13" t="s">
        <v>51</v>
      </c>
      <c r="B6" s="14" t="s">
        <v>48</v>
      </c>
      <c r="C6" s="25" t="s">
        <v>49</v>
      </c>
      <c r="D6" s="125">
        <v>1</v>
      </c>
      <c r="E6" s="32">
        <f t="shared" si="1"/>
        <v>5</v>
      </c>
      <c r="F6" s="33" t="s">
        <v>76</v>
      </c>
      <c r="G6" s="34" t="s">
        <v>80</v>
      </c>
      <c r="H6" s="32">
        <f t="shared" si="0"/>
        <v>2</v>
      </c>
      <c r="I6" s="33" t="s">
        <v>76</v>
      </c>
      <c r="J6" s="31" t="s">
        <v>72</v>
      </c>
      <c r="K6" s="32">
        <f t="shared" si="2"/>
        <v>1</v>
      </c>
      <c r="L6" s="30" t="s">
        <v>72</v>
      </c>
      <c r="M6" s="31" t="s">
        <v>72</v>
      </c>
      <c r="N6" s="32">
        <f t="shared" si="3"/>
        <v>5</v>
      </c>
    </row>
    <row r="7" spans="1:14" x14ac:dyDescent="0.35">
      <c r="A7" s="13" t="s">
        <v>52</v>
      </c>
      <c r="B7" s="14" t="s">
        <v>48</v>
      </c>
      <c r="C7" s="25" t="s">
        <v>49</v>
      </c>
      <c r="D7" s="125">
        <v>6</v>
      </c>
      <c r="E7" s="32">
        <f t="shared" si="1"/>
        <v>4</v>
      </c>
      <c r="F7" s="33" t="s">
        <v>76</v>
      </c>
      <c r="G7" s="34" t="s">
        <v>79</v>
      </c>
      <c r="H7" s="32">
        <f t="shared" si="0"/>
        <v>1</v>
      </c>
      <c r="I7" s="33" t="s">
        <v>76</v>
      </c>
      <c r="J7" s="31" t="s">
        <v>160</v>
      </c>
      <c r="K7" s="32">
        <f t="shared" si="2"/>
        <v>4</v>
      </c>
      <c r="L7" s="30" t="s">
        <v>71</v>
      </c>
      <c r="M7" s="31" t="s">
        <v>71</v>
      </c>
      <c r="N7" s="32">
        <f t="shared" si="3"/>
        <v>1</v>
      </c>
    </row>
    <row r="8" spans="1:14" x14ac:dyDescent="0.35">
      <c r="A8" s="13" t="s">
        <v>53</v>
      </c>
      <c r="B8" s="14" t="s">
        <v>48</v>
      </c>
      <c r="C8" s="25" t="s">
        <v>49</v>
      </c>
      <c r="D8" s="125">
        <v>5</v>
      </c>
      <c r="E8" s="32">
        <f t="shared" si="1"/>
        <v>4</v>
      </c>
      <c r="F8" s="33" t="s">
        <v>77</v>
      </c>
      <c r="G8" s="34" t="s">
        <v>81</v>
      </c>
      <c r="H8" s="32">
        <f t="shared" si="0"/>
        <v>4</v>
      </c>
      <c r="I8" s="33" t="s">
        <v>77</v>
      </c>
      <c r="J8" s="31" t="s">
        <v>72</v>
      </c>
      <c r="K8" s="32">
        <f t="shared" si="2"/>
        <v>4</v>
      </c>
      <c r="L8" s="30" t="s">
        <v>71</v>
      </c>
      <c r="M8" s="31" t="s">
        <v>71</v>
      </c>
      <c r="N8" s="32">
        <f t="shared" si="3"/>
        <v>1</v>
      </c>
    </row>
    <row r="9" spans="1:14" x14ac:dyDescent="0.35">
      <c r="A9" s="13" t="s">
        <v>54</v>
      </c>
      <c r="B9" s="14" t="s">
        <v>48</v>
      </c>
      <c r="C9" s="25" t="s">
        <v>70</v>
      </c>
      <c r="D9" s="125">
        <v>55</v>
      </c>
      <c r="E9" s="32">
        <f t="shared" si="1"/>
        <v>1</v>
      </c>
      <c r="F9" s="33" t="s">
        <v>76</v>
      </c>
      <c r="G9" s="34" t="s">
        <v>80</v>
      </c>
      <c r="H9" s="32">
        <f t="shared" si="0"/>
        <v>2</v>
      </c>
      <c r="I9" s="33" t="s">
        <v>76</v>
      </c>
      <c r="J9" s="31" t="s">
        <v>158</v>
      </c>
      <c r="K9" s="32">
        <f t="shared" si="2"/>
        <v>2</v>
      </c>
      <c r="L9" s="30" t="s">
        <v>71</v>
      </c>
      <c r="M9" s="31" t="s">
        <v>72</v>
      </c>
      <c r="N9" s="32">
        <f t="shared" si="3"/>
        <v>3</v>
      </c>
    </row>
    <row r="10" spans="1:14" x14ac:dyDescent="0.35">
      <c r="A10" s="13" t="s">
        <v>55</v>
      </c>
      <c r="B10" s="14" t="s">
        <v>48</v>
      </c>
      <c r="C10" s="25" t="s">
        <v>70</v>
      </c>
      <c r="D10" s="125">
        <v>9</v>
      </c>
      <c r="E10" s="32">
        <f t="shared" si="1"/>
        <v>3</v>
      </c>
      <c r="F10" s="33" t="s">
        <v>76</v>
      </c>
      <c r="G10" s="34" t="s">
        <v>79</v>
      </c>
      <c r="H10" s="32">
        <f t="shared" si="0"/>
        <v>1</v>
      </c>
      <c r="I10" s="33" t="s">
        <v>157</v>
      </c>
      <c r="J10" s="31" t="s">
        <v>72</v>
      </c>
      <c r="K10" s="32">
        <f t="shared" si="2"/>
        <v>5</v>
      </c>
      <c r="L10" s="30" t="s">
        <v>71</v>
      </c>
      <c r="M10" s="30" t="s">
        <v>71</v>
      </c>
      <c r="N10" s="32">
        <f t="shared" si="3"/>
        <v>1</v>
      </c>
    </row>
    <row r="11" spans="1:14" x14ac:dyDescent="0.35">
      <c r="A11" s="13" t="s">
        <v>56</v>
      </c>
      <c r="B11" s="14" t="s">
        <v>48</v>
      </c>
      <c r="C11" s="25" t="s">
        <v>70</v>
      </c>
      <c r="D11" s="125">
        <v>12</v>
      </c>
      <c r="E11" s="32">
        <f t="shared" si="1"/>
        <v>3</v>
      </c>
      <c r="F11" s="33" t="s">
        <v>76</v>
      </c>
      <c r="G11" s="34" t="s">
        <v>81</v>
      </c>
      <c r="H11" s="32">
        <f t="shared" si="0"/>
        <v>3</v>
      </c>
      <c r="I11" s="33" t="s">
        <v>76</v>
      </c>
      <c r="J11" s="31" t="s">
        <v>160</v>
      </c>
      <c r="K11" s="32">
        <f t="shared" si="2"/>
        <v>4</v>
      </c>
      <c r="L11" s="30" t="s">
        <v>71</v>
      </c>
      <c r="M11" s="31" t="s">
        <v>72</v>
      </c>
      <c r="N11" s="32">
        <f t="shared" si="3"/>
        <v>3</v>
      </c>
    </row>
    <row r="12" spans="1:14" x14ac:dyDescent="0.35">
      <c r="A12" s="13" t="s">
        <v>57</v>
      </c>
      <c r="B12" s="14" t="s">
        <v>48</v>
      </c>
      <c r="C12" s="25" t="s">
        <v>70</v>
      </c>
      <c r="D12" s="125">
        <v>45</v>
      </c>
      <c r="E12" s="32">
        <f t="shared" si="1"/>
        <v>2</v>
      </c>
      <c r="F12" s="33" t="s">
        <v>76</v>
      </c>
      <c r="G12" s="34" t="s">
        <v>80</v>
      </c>
      <c r="H12" s="32">
        <f t="shared" si="0"/>
        <v>2</v>
      </c>
      <c r="I12" s="33" t="s">
        <v>76</v>
      </c>
      <c r="J12" s="31" t="s">
        <v>158</v>
      </c>
      <c r="K12" s="32">
        <f t="shared" si="2"/>
        <v>2</v>
      </c>
      <c r="L12" s="30" t="s">
        <v>71</v>
      </c>
      <c r="M12" s="31" t="s">
        <v>72</v>
      </c>
      <c r="N12" s="32">
        <f t="shared" si="3"/>
        <v>3</v>
      </c>
    </row>
    <row r="13" spans="1:14" x14ac:dyDescent="0.35">
      <c r="A13" s="13" t="s">
        <v>58</v>
      </c>
      <c r="B13" s="14" t="s">
        <v>48</v>
      </c>
      <c r="C13" s="25" t="s">
        <v>70</v>
      </c>
      <c r="D13" s="125">
        <v>17</v>
      </c>
      <c r="E13" s="32">
        <f t="shared" si="1"/>
        <v>2</v>
      </c>
      <c r="F13" s="33" t="s">
        <v>77</v>
      </c>
      <c r="G13" s="34" t="s">
        <v>80</v>
      </c>
      <c r="H13" s="32">
        <f t="shared" si="0"/>
        <v>4</v>
      </c>
      <c r="I13" s="33" t="s">
        <v>77</v>
      </c>
      <c r="J13" s="31" t="s">
        <v>159</v>
      </c>
      <c r="K13" s="32">
        <f t="shared" si="2"/>
        <v>4</v>
      </c>
      <c r="L13" s="30" t="s">
        <v>71</v>
      </c>
      <c r="M13" s="31" t="s">
        <v>71</v>
      </c>
      <c r="N13" s="32">
        <f t="shared" si="3"/>
        <v>1</v>
      </c>
    </row>
    <row r="14" spans="1:14" x14ac:dyDescent="0.35">
      <c r="A14" s="15" t="s">
        <v>59</v>
      </c>
      <c r="B14" s="16" t="s">
        <v>60</v>
      </c>
      <c r="C14" s="26" t="s">
        <v>49</v>
      </c>
      <c r="D14" s="125">
        <v>18</v>
      </c>
      <c r="E14" s="32">
        <f t="shared" si="1"/>
        <v>2</v>
      </c>
      <c r="F14" s="33" t="s">
        <v>76</v>
      </c>
      <c r="G14" s="34" t="s">
        <v>79</v>
      </c>
      <c r="H14" s="32">
        <f t="shared" si="0"/>
        <v>1</v>
      </c>
      <c r="I14" s="33" t="s">
        <v>76</v>
      </c>
      <c r="J14" s="31" t="s">
        <v>160</v>
      </c>
      <c r="K14" s="32">
        <f t="shared" si="2"/>
        <v>4</v>
      </c>
      <c r="L14" s="30" t="s">
        <v>71</v>
      </c>
      <c r="M14" s="31" t="s">
        <v>71</v>
      </c>
      <c r="N14" s="32">
        <f t="shared" si="3"/>
        <v>1</v>
      </c>
    </row>
    <row r="15" spans="1:14" x14ac:dyDescent="0.35">
      <c r="A15" s="15" t="s">
        <v>61</v>
      </c>
      <c r="B15" s="16" t="s">
        <v>60</v>
      </c>
      <c r="C15" s="26" t="s">
        <v>49</v>
      </c>
      <c r="D15" s="125">
        <v>3</v>
      </c>
      <c r="E15" s="32">
        <f t="shared" si="1"/>
        <v>4</v>
      </c>
      <c r="F15" s="33" t="s">
        <v>78</v>
      </c>
      <c r="G15" s="34" t="s">
        <v>81</v>
      </c>
      <c r="H15" s="32">
        <f t="shared" si="0"/>
        <v>5</v>
      </c>
      <c r="I15" s="33" t="s">
        <v>157</v>
      </c>
      <c r="J15" s="31" t="s">
        <v>72</v>
      </c>
      <c r="K15" s="32">
        <f t="shared" si="2"/>
        <v>5</v>
      </c>
      <c r="L15" s="30" t="s">
        <v>71</v>
      </c>
      <c r="M15" s="31" t="s">
        <v>72</v>
      </c>
      <c r="N15" s="32">
        <f t="shared" si="3"/>
        <v>3</v>
      </c>
    </row>
    <row r="16" spans="1:14" x14ac:dyDescent="0.35">
      <c r="A16" s="15" t="s">
        <v>62</v>
      </c>
      <c r="B16" s="16" t="s">
        <v>60</v>
      </c>
      <c r="C16" s="26" t="s">
        <v>49</v>
      </c>
      <c r="D16" s="125">
        <v>6</v>
      </c>
      <c r="E16" s="32">
        <f t="shared" si="1"/>
        <v>4</v>
      </c>
      <c r="F16" s="33" t="s">
        <v>76</v>
      </c>
      <c r="G16" s="34" t="s">
        <v>79</v>
      </c>
      <c r="H16" s="32">
        <f t="shared" si="0"/>
        <v>1</v>
      </c>
      <c r="I16" s="33" t="s">
        <v>76</v>
      </c>
      <c r="J16" s="31" t="s">
        <v>158</v>
      </c>
      <c r="K16" s="32">
        <f t="shared" si="2"/>
        <v>2</v>
      </c>
      <c r="L16" s="30" t="s">
        <v>71</v>
      </c>
      <c r="M16" s="31" t="s">
        <v>71</v>
      </c>
      <c r="N16" s="32">
        <f t="shared" si="3"/>
        <v>1</v>
      </c>
    </row>
    <row r="17" spans="1:14" x14ac:dyDescent="0.35">
      <c r="A17" s="15" t="s">
        <v>63</v>
      </c>
      <c r="B17" s="16" t="s">
        <v>60</v>
      </c>
      <c r="C17" s="26" t="s">
        <v>49</v>
      </c>
      <c r="D17" s="125">
        <v>25</v>
      </c>
      <c r="E17" s="32">
        <f t="shared" si="1"/>
        <v>2</v>
      </c>
      <c r="F17" s="33" t="s">
        <v>76</v>
      </c>
      <c r="G17" s="34" t="s">
        <v>79</v>
      </c>
      <c r="H17" s="32">
        <f t="shared" si="0"/>
        <v>1</v>
      </c>
      <c r="I17" s="33" t="s">
        <v>76</v>
      </c>
      <c r="J17" s="31" t="s">
        <v>159</v>
      </c>
      <c r="K17" s="32">
        <f t="shared" si="2"/>
        <v>3</v>
      </c>
      <c r="L17" s="30" t="s">
        <v>71</v>
      </c>
      <c r="M17" s="31" t="s">
        <v>71</v>
      </c>
      <c r="N17" s="32">
        <f t="shared" si="3"/>
        <v>1</v>
      </c>
    </row>
    <row r="18" spans="1:14" x14ac:dyDescent="0.35">
      <c r="A18" s="15" t="s">
        <v>64</v>
      </c>
      <c r="B18" s="16" t="s">
        <v>60</v>
      </c>
      <c r="C18" s="26" t="s">
        <v>49</v>
      </c>
      <c r="D18" s="125">
        <v>52</v>
      </c>
      <c r="E18" s="32">
        <f t="shared" si="1"/>
        <v>1</v>
      </c>
      <c r="F18" s="33" t="s">
        <v>76</v>
      </c>
      <c r="G18" s="34" t="s">
        <v>79</v>
      </c>
      <c r="H18" s="32">
        <f t="shared" si="0"/>
        <v>1</v>
      </c>
      <c r="I18" s="33" t="s">
        <v>76</v>
      </c>
      <c r="J18" s="31" t="s">
        <v>72</v>
      </c>
      <c r="K18" s="32">
        <f t="shared" si="2"/>
        <v>1</v>
      </c>
      <c r="L18" s="30" t="s">
        <v>71</v>
      </c>
      <c r="M18" s="31" t="s">
        <v>71</v>
      </c>
      <c r="N18" s="32">
        <f t="shared" si="3"/>
        <v>1</v>
      </c>
    </row>
    <row r="19" spans="1:14" x14ac:dyDescent="0.35">
      <c r="A19" s="15" t="s">
        <v>65</v>
      </c>
      <c r="B19" s="16" t="s">
        <v>60</v>
      </c>
      <c r="C19" s="26" t="s">
        <v>70</v>
      </c>
      <c r="D19" s="125">
        <v>20</v>
      </c>
      <c r="E19" s="32">
        <f t="shared" si="1"/>
        <v>2</v>
      </c>
      <c r="F19" s="33" t="s">
        <v>76</v>
      </c>
      <c r="G19" s="34" t="s">
        <v>79</v>
      </c>
      <c r="H19" s="32">
        <f t="shared" si="0"/>
        <v>1</v>
      </c>
      <c r="I19" s="33" t="s">
        <v>76</v>
      </c>
      <c r="J19" s="31" t="s">
        <v>72</v>
      </c>
      <c r="K19" s="32">
        <f t="shared" si="2"/>
        <v>1</v>
      </c>
      <c r="L19" s="30" t="s">
        <v>71</v>
      </c>
      <c r="M19" s="31" t="s">
        <v>71</v>
      </c>
      <c r="N19" s="32">
        <f t="shared" si="3"/>
        <v>1</v>
      </c>
    </row>
    <row r="20" spans="1:14" x14ac:dyDescent="0.35">
      <c r="A20" s="15" t="s">
        <v>66</v>
      </c>
      <c r="B20" s="16" t="s">
        <v>60</v>
      </c>
      <c r="C20" s="26" t="s">
        <v>70</v>
      </c>
      <c r="D20" s="125">
        <v>2</v>
      </c>
      <c r="E20" s="32">
        <f t="shared" si="1"/>
        <v>5</v>
      </c>
      <c r="F20" s="33" t="s">
        <v>77</v>
      </c>
      <c r="G20" s="34" t="s">
        <v>80</v>
      </c>
      <c r="H20" s="32">
        <f t="shared" si="0"/>
        <v>4</v>
      </c>
      <c r="I20" s="33" t="s">
        <v>77</v>
      </c>
      <c r="J20" s="31" t="s">
        <v>158</v>
      </c>
      <c r="K20" s="32">
        <f t="shared" si="2"/>
        <v>4</v>
      </c>
      <c r="L20" s="30" t="s">
        <v>71</v>
      </c>
      <c r="M20" s="31" t="s">
        <v>71</v>
      </c>
      <c r="N20" s="32">
        <f t="shared" si="3"/>
        <v>1</v>
      </c>
    </row>
    <row r="21" spans="1:14" x14ac:dyDescent="0.35">
      <c r="A21" s="15" t="s">
        <v>67</v>
      </c>
      <c r="B21" s="16" t="s">
        <v>60</v>
      </c>
      <c r="C21" s="26" t="s">
        <v>70</v>
      </c>
      <c r="D21" s="125">
        <v>8</v>
      </c>
      <c r="E21" s="32">
        <f t="shared" si="1"/>
        <v>4</v>
      </c>
      <c r="F21" s="33" t="s">
        <v>76</v>
      </c>
      <c r="G21" s="34" t="s">
        <v>81</v>
      </c>
      <c r="H21" s="32">
        <f t="shared" si="0"/>
        <v>3</v>
      </c>
      <c r="I21" s="33" t="s">
        <v>76</v>
      </c>
      <c r="J21" s="31" t="s">
        <v>159</v>
      </c>
      <c r="K21" s="32">
        <f t="shared" si="2"/>
        <v>3</v>
      </c>
      <c r="L21" s="30" t="s">
        <v>72</v>
      </c>
      <c r="M21" s="31" t="s">
        <v>71</v>
      </c>
      <c r="N21" s="32">
        <f t="shared" si="3"/>
        <v>5</v>
      </c>
    </row>
    <row r="22" spans="1:14" x14ac:dyDescent="0.35">
      <c r="A22" s="15" t="s">
        <v>68</v>
      </c>
      <c r="B22" s="16" t="s">
        <v>60</v>
      </c>
      <c r="C22" s="26" t="s">
        <v>70</v>
      </c>
      <c r="D22" s="125">
        <v>15</v>
      </c>
      <c r="E22" s="32">
        <f t="shared" si="1"/>
        <v>2</v>
      </c>
      <c r="F22" s="33" t="s">
        <v>76</v>
      </c>
      <c r="G22" s="34" t="s">
        <v>79</v>
      </c>
      <c r="H22" s="32">
        <f t="shared" si="0"/>
        <v>1</v>
      </c>
      <c r="I22" s="33" t="s">
        <v>77</v>
      </c>
      <c r="J22" s="31" t="s">
        <v>158</v>
      </c>
      <c r="K22" s="32">
        <f t="shared" si="2"/>
        <v>4</v>
      </c>
      <c r="L22" s="30" t="s">
        <v>71</v>
      </c>
      <c r="M22" s="31" t="s">
        <v>71</v>
      </c>
      <c r="N22" s="32">
        <f t="shared" si="3"/>
        <v>1</v>
      </c>
    </row>
    <row r="23" spans="1:14" ht="15" thickBot="1" x14ac:dyDescent="0.4">
      <c r="A23" s="17" t="s">
        <v>69</v>
      </c>
      <c r="B23" s="18" t="s">
        <v>60</v>
      </c>
      <c r="C23" s="27" t="s">
        <v>70</v>
      </c>
      <c r="D23" s="126">
        <v>2</v>
      </c>
      <c r="E23" s="36">
        <f t="shared" si="1"/>
        <v>5</v>
      </c>
      <c r="F23" s="37" t="s">
        <v>76</v>
      </c>
      <c r="G23" s="127" t="s">
        <v>79</v>
      </c>
      <c r="H23" s="36">
        <f t="shared" si="0"/>
        <v>1</v>
      </c>
      <c r="I23" s="37" t="s">
        <v>76</v>
      </c>
      <c r="J23" s="128" t="s">
        <v>159</v>
      </c>
      <c r="K23" s="36">
        <f t="shared" si="2"/>
        <v>3</v>
      </c>
      <c r="L23" s="35" t="s">
        <v>71</v>
      </c>
      <c r="M23" s="128" t="s">
        <v>71</v>
      </c>
      <c r="N23" s="36">
        <f t="shared" si="3"/>
        <v>1</v>
      </c>
    </row>
    <row r="26" spans="1:14" x14ac:dyDescent="0.35">
      <c r="I26" s="11"/>
      <c r="J26" s="11"/>
    </row>
    <row r="27" spans="1:14" x14ac:dyDescent="0.35">
      <c r="I27" s="11"/>
      <c r="J27" s="11"/>
    </row>
  </sheetData>
  <mergeCells count="10">
    <mergeCell ref="N2:N3"/>
    <mergeCell ref="H2:H3"/>
    <mergeCell ref="A2:A3"/>
    <mergeCell ref="C2:C3"/>
    <mergeCell ref="B2:B3"/>
    <mergeCell ref="L2:M2"/>
    <mergeCell ref="F2:G2"/>
    <mergeCell ref="E2:E3"/>
    <mergeCell ref="I2:J2"/>
    <mergeCell ref="K2:K3"/>
  </mergeCells>
  <conditionalFormatting sqref="L4:M23">
    <cfRule type="containsText" dxfId="59" priority="51" stopIfTrue="1" operator="containsText" text="yes">
      <formula>NOT(ISERROR(SEARCH("yes",L4)))</formula>
    </cfRule>
    <cfRule type="containsText" dxfId="58" priority="52" stopIfTrue="1" operator="containsText" text="no">
      <formula>NOT(ISERROR(SEARCH("no",L4)))</formula>
    </cfRule>
  </conditionalFormatting>
  <conditionalFormatting sqref="N4:N23">
    <cfRule type="cellIs" dxfId="57" priority="48" operator="equal">
      <formula>5</formula>
    </cfRule>
    <cfRule type="cellIs" dxfId="56" priority="49" operator="equal">
      <formula>3</formula>
    </cfRule>
    <cfRule type="cellIs" dxfId="55" priority="50" operator="equal">
      <formula>1</formula>
    </cfRule>
  </conditionalFormatting>
  <conditionalFormatting sqref="H4:H23">
    <cfRule type="cellIs" dxfId="54" priority="43" operator="equal">
      <formula>1</formula>
    </cfRule>
    <cfRule type="cellIs" dxfId="53" priority="44" operator="equal">
      <formula>2</formula>
    </cfRule>
    <cfRule type="cellIs" dxfId="52" priority="45" operator="equal">
      <formula>3</formula>
    </cfRule>
    <cfRule type="cellIs" dxfId="51" priority="46" operator="equal">
      <formula>4</formula>
    </cfRule>
    <cfRule type="cellIs" dxfId="50" priority="47" operator="equal">
      <formula>5</formula>
    </cfRule>
  </conditionalFormatting>
  <conditionalFormatting sqref="F4:F23">
    <cfRule type="cellIs" dxfId="49" priority="40" operator="equal">
      <formula>"surface"</formula>
    </cfRule>
    <cfRule type="cellIs" dxfId="48" priority="41" operator="equal">
      <formula>"unimproved"</formula>
    </cfRule>
    <cfRule type="cellIs" dxfId="47" priority="42" operator="equal">
      <formula>"improved"</formula>
    </cfRule>
  </conditionalFormatting>
  <conditionalFormatting sqref="G4:G23">
    <cfRule type="cellIs" dxfId="46" priority="37" operator="equal">
      <formula>"&gt;30"</formula>
    </cfRule>
    <cfRule type="cellIs" dxfId="45" priority="38" operator="equal">
      <formula>"&lt;30"</formula>
    </cfRule>
    <cfRule type="cellIs" dxfId="44" priority="39" operator="equal">
      <formula>"premise"</formula>
    </cfRule>
  </conditionalFormatting>
  <conditionalFormatting sqref="E4:E23">
    <cfRule type="cellIs" dxfId="43" priority="32" operator="equal">
      <formula>1</formula>
    </cfRule>
    <cfRule type="cellIs" dxfId="42" priority="33" operator="equal">
      <formula>2</formula>
    </cfRule>
    <cfRule type="cellIs" dxfId="41" priority="34" operator="equal">
      <formula>3</formula>
    </cfRule>
    <cfRule type="cellIs" dxfId="40" priority="35" operator="equal">
      <formula>4</formula>
    </cfRule>
    <cfRule type="cellIs" dxfId="39" priority="36" operator="equal">
      <formula>5</formula>
    </cfRule>
  </conditionalFormatting>
  <conditionalFormatting sqref="D4:D23">
    <cfRule type="colorScale" priority="3">
      <colorScale>
        <cfvo type="min"/>
        <cfvo type="max"/>
        <color theme="5" tint="0.39997558519241921"/>
        <color theme="9" tint="0.79998168889431442"/>
      </colorScale>
    </cfRule>
    <cfRule type="cellIs" dxfId="38" priority="29" operator="equal">
      <formula>"surface"</formula>
    </cfRule>
    <cfRule type="cellIs" dxfId="37" priority="30" operator="equal">
      <formula>"unimproved"</formula>
    </cfRule>
    <cfRule type="cellIs" dxfId="36" priority="31" operator="equal">
      <formula>"improved"</formula>
    </cfRule>
  </conditionalFormatting>
  <conditionalFormatting sqref="I4:I23">
    <cfRule type="cellIs" dxfId="35" priority="15" operator="equal">
      <formula>"open defecation"</formula>
    </cfRule>
    <cfRule type="cellIs" dxfId="34" priority="16" operator="equal">
      <formula>"unimproved"</formula>
    </cfRule>
    <cfRule type="cellIs" dxfId="33" priority="17" operator="equal">
      <formula>"improved"</formula>
    </cfRule>
  </conditionalFormatting>
  <conditionalFormatting sqref="R4:R23">
    <cfRule type="containsText" dxfId="32" priority="13" stopIfTrue="1" operator="containsText" text="yes">
      <formula>NOT(ISERROR(SEARCH("yes",R4)))</formula>
    </cfRule>
    <cfRule type="containsText" dxfId="31" priority="14" stopIfTrue="1" operator="containsText" text="no">
      <formula>NOT(ISERROR(SEARCH("no",R4)))</formula>
    </cfRule>
  </conditionalFormatting>
  <conditionalFormatting sqref="U4:U23">
    <cfRule type="containsText" dxfId="30" priority="11" stopIfTrue="1" operator="containsText" text="yes">
      <formula>NOT(ISERROR(SEARCH("yes",U4)))</formula>
    </cfRule>
    <cfRule type="containsText" dxfId="29" priority="12" stopIfTrue="1" operator="containsText" text="no">
      <formula>NOT(ISERROR(SEARCH("no",U4)))</formula>
    </cfRule>
  </conditionalFormatting>
  <conditionalFormatting sqref="J4:J23">
    <cfRule type="containsText" dxfId="28" priority="1" operator="containsText" text="&gt;50">
      <formula>NOT(ISERROR(SEARCH("&gt;50",J4)))</formula>
    </cfRule>
    <cfRule type="containsText" dxfId="27" priority="2" operator="containsText" text="&gt;20">
      <formula>NOT(ISERROR(SEARCH("&gt;20",J4)))</formula>
    </cfRule>
    <cfRule type="containsText" dxfId="26" priority="9" stopIfTrue="1" operator="containsText" text="&lt;20">
      <formula>NOT(ISERROR(SEARCH("&lt;20",J4)))</formula>
    </cfRule>
    <cfRule type="containsText" dxfId="25" priority="10" stopIfTrue="1" operator="containsText" text="no">
      <formula>NOT(ISERROR(SEARCH("no",J4)))</formula>
    </cfRule>
  </conditionalFormatting>
  <conditionalFormatting sqref="K4:K23">
    <cfRule type="cellIs" dxfId="24" priority="4" operator="equal">
      <formula>1</formula>
    </cfRule>
    <cfRule type="cellIs" dxfId="23" priority="5" operator="equal">
      <formula>2</formula>
    </cfRule>
    <cfRule type="cellIs" dxfId="22" priority="6" operator="equal">
      <formula>3</formula>
    </cfRule>
    <cfRule type="cellIs" dxfId="21" priority="7" operator="equal">
      <formula>4</formula>
    </cfRule>
    <cfRule type="cellIs" dxfId="20" priority="8" operator="equal">
      <formula>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ED8F-650B-4FE3-BB91-808EC48F47C9}">
  <dimension ref="A1:E26"/>
  <sheetViews>
    <sheetView zoomScaleNormal="100" workbookViewId="0">
      <selection activeCell="F10" sqref="F10"/>
    </sheetView>
  </sheetViews>
  <sheetFormatPr defaultRowHeight="14.5" x14ac:dyDescent="0.35"/>
  <cols>
    <col min="1" max="1" width="8.7265625" customWidth="1"/>
    <col min="2" max="2" width="14.7265625" customWidth="1"/>
    <col min="3" max="3" width="12" customWidth="1"/>
    <col min="4" max="4" width="11.7265625" customWidth="1"/>
    <col min="5" max="5" width="12.453125" customWidth="1"/>
  </cols>
  <sheetData>
    <row r="1" spans="1:4" ht="24" customHeight="1" thickBot="1" x14ac:dyDescent="0.4">
      <c r="A1" s="3" t="s">
        <v>84</v>
      </c>
      <c r="B1" s="28"/>
      <c r="C1" s="28"/>
      <c r="D1" s="28"/>
    </row>
    <row r="2" spans="1:4" x14ac:dyDescent="0.35">
      <c r="A2" s="154" t="s">
        <v>14</v>
      </c>
      <c r="B2" s="121" t="s">
        <v>46</v>
      </c>
      <c r="C2" s="152" t="s">
        <v>167</v>
      </c>
      <c r="D2" s="163" t="s">
        <v>83</v>
      </c>
    </row>
    <row r="3" spans="1:4" ht="39.5" customHeight="1" x14ac:dyDescent="0.35">
      <c r="A3" s="155"/>
      <c r="B3" s="42" t="s">
        <v>166</v>
      </c>
      <c r="C3" s="153"/>
      <c r="D3" s="164"/>
    </row>
    <row r="4" spans="1:4" x14ac:dyDescent="0.35">
      <c r="A4" s="13" t="s">
        <v>48</v>
      </c>
      <c r="B4" s="39" t="s">
        <v>168</v>
      </c>
      <c r="C4" s="21">
        <f>IF(B4="functional",1,IF(B4="limited",2,IF(B4="serious",3,IF(B4="extensive",4,IF(B4="collapse",5,"")))))</f>
        <v>1</v>
      </c>
      <c r="D4" s="164"/>
    </row>
    <row r="5" spans="1:4" x14ac:dyDescent="0.35">
      <c r="A5" s="13" t="s">
        <v>60</v>
      </c>
      <c r="B5" s="39" t="s">
        <v>169</v>
      </c>
      <c r="C5" s="21">
        <f t="shared" ref="C5:C23" si="0">IF(B5="functional",1,IF(B5="limited",2,IF(B5="serious",3,IF(B5="extensive",4,IF(B5="collapse",5,"")))))</f>
        <v>3</v>
      </c>
      <c r="D5" s="164"/>
    </row>
    <row r="6" spans="1:4" x14ac:dyDescent="0.35">
      <c r="A6" s="13" t="s">
        <v>85</v>
      </c>
      <c r="B6" s="39" t="s">
        <v>169</v>
      </c>
      <c r="C6" s="21">
        <f t="shared" si="0"/>
        <v>3</v>
      </c>
      <c r="D6" s="164"/>
    </row>
    <row r="7" spans="1:4" x14ac:dyDescent="0.35">
      <c r="A7" s="13" t="s">
        <v>86</v>
      </c>
      <c r="B7" s="39" t="s">
        <v>170</v>
      </c>
      <c r="C7" s="21">
        <f t="shared" si="0"/>
        <v>4</v>
      </c>
      <c r="D7" s="164"/>
    </row>
    <row r="8" spans="1:4" x14ac:dyDescent="0.35">
      <c r="A8" s="13" t="s">
        <v>87</v>
      </c>
      <c r="B8" s="39" t="s">
        <v>171</v>
      </c>
      <c r="C8" s="21">
        <f t="shared" si="0"/>
        <v>5</v>
      </c>
      <c r="D8" s="164"/>
    </row>
    <row r="9" spans="1:4" x14ac:dyDescent="0.35">
      <c r="A9" s="13" t="s">
        <v>88</v>
      </c>
      <c r="B9" s="39" t="s">
        <v>168</v>
      </c>
      <c r="C9" s="21">
        <f t="shared" si="0"/>
        <v>1</v>
      </c>
      <c r="D9" s="164"/>
    </row>
    <row r="10" spans="1:4" x14ac:dyDescent="0.35">
      <c r="A10" s="13" t="s">
        <v>89</v>
      </c>
      <c r="B10" s="39" t="s">
        <v>168</v>
      </c>
      <c r="C10" s="21">
        <f t="shared" si="0"/>
        <v>1</v>
      </c>
      <c r="D10" s="164"/>
    </row>
    <row r="11" spans="1:4" x14ac:dyDescent="0.35">
      <c r="A11" s="13" t="s">
        <v>90</v>
      </c>
      <c r="B11" s="39" t="s">
        <v>170</v>
      </c>
      <c r="C11" s="21">
        <f t="shared" si="0"/>
        <v>4</v>
      </c>
      <c r="D11" s="164"/>
    </row>
    <row r="12" spans="1:4" x14ac:dyDescent="0.35">
      <c r="A12" s="13" t="s">
        <v>91</v>
      </c>
      <c r="B12" s="39" t="s">
        <v>170</v>
      </c>
      <c r="C12" s="21">
        <f t="shared" si="0"/>
        <v>4</v>
      </c>
      <c r="D12" s="164"/>
    </row>
    <row r="13" spans="1:4" x14ac:dyDescent="0.35">
      <c r="A13" s="13" t="s">
        <v>92</v>
      </c>
      <c r="B13" s="39" t="s">
        <v>168</v>
      </c>
      <c r="C13" s="21">
        <f t="shared" si="0"/>
        <v>1</v>
      </c>
      <c r="D13" s="164"/>
    </row>
    <row r="14" spans="1:4" x14ac:dyDescent="0.35">
      <c r="A14" s="13" t="s">
        <v>93</v>
      </c>
      <c r="B14" s="39" t="s">
        <v>168</v>
      </c>
      <c r="C14" s="21">
        <f t="shared" si="0"/>
        <v>1</v>
      </c>
      <c r="D14" s="164"/>
    </row>
    <row r="15" spans="1:4" x14ac:dyDescent="0.35">
      <c r="A15" s="13" t="s">
        <v>94</v>
      </c>
      <c r="B15" s="39" t="s">
        <v>171</v>
      </c>
      <c r="C15" s="21">
        <f t="shared" si="0"/>
        <v>5</v>
      </c>
      <c r="D15" s="164"/>
    </row>
    <row r="16" spans="1:4" x14ac:dyDescent="0.35">
      <c r="A16" s="13" t="s">
        <v>95</v>
      </c>
      <c r="B16" s="39" t="s">
        <v>168</v>
      </c>
      <c r="C16" s="21">
        <f t="shared" si="0"/>
        <v>1</v>
      </c>
      <c r="D16" s="164"/>
    </row>
    <row r="17" spans="1:5" x14ac:dyDescent="0.35">
      <c r="A17" s="13" t="s">
        <v>96</v>
      </c>
      <c r="B17" s="39" t="s">
        <v>169</v>
      </c>
      <c r="C17" s="21">
        <f t="shared" si="0"/>
        <v>3</v>
      </c>
      <c r="D17" s="164"/>
    </row>
    <row r="18" spans="1:5" x14ac:dyDescent="0.35">
      <c r="A18" s="13" t="s">
        <v>97</v>
      </c>
      <c r="B18" s="39" t="s">
        <v>168</v>
      </c>
      <c r="C18" s="21">
        <f t="shared" si="0"/>
        <v>1</v>
      </c>
      <c r="D18" s="164"/>
    </row>
    <row r="19" spans="1:5" x14ac:dyDescent="0.35">
      <c r="A19" s="13" t="s">
        <v>98</v>
      </c>
      <c r="B19" s="39" t="s">
        <v>172</v>
      </c>
      <c r="C19" s="21">
        <f t="shared" si="0"/>
        <v>2</v>
      </c>
      <c r="D19" s="164"/>
    </row>
    <row r="20" spans="1:5" x14ac:dyDescent="0.35">
      <c r="A20" s="13" t="s">
        <v>99</v>
      </c>
      <c r="B20" s="39" t="s">
        <v>168</v>
      </c>
      <c r="C20" s="21">
        <f t="shared" si="0"/>
        <v>1</v>
      </c>
      <c r="D20" s="164"/>
    </row>
    <row r="21" spans="1:5" x14ac:dyDescent="0.35">
      <c r="A21" s="13" t="s">
        <v>100</v>
      </c>
      <c r="B21" s="39" t="s">
        <v>168</v>
      </c>
      <c r="C21" s="21">
        <f t="shared" si="0"/>
        <v>1</v>
      </c>
      <c r="D21" s="164"/>
    </row>
    <row r="22" spans="1:5" x14ac:dyDescent="0.35">
      <c r="A22" s="13" t="s">
        <v>101</v>
      </c>
      <c r="B22" s="39" t="s">
        <v>172</v>
      </c>
      <c r="C22" s="21">
        <f t="shared" si="0"/>
        <v>2</v>
      </c>
      <c r="D22" s="164"/>
    </row>
    <row r="23" spans="1:5" ht="15" thickBot="1" x14ac:dyDescent="0.4">
      <c r="A23" s="41" t="s">
        <v>102</v>
      </c>
      <c r="B23" s="40" t="s">
        <v>168</v>
      </c>
      <c r="C23" s="22">
        <f t="shared" si="0"/>
        <v>1</v>
      </c>
      <c r="D23" s="165"/>
    </row>
    <row r="26" spans="1:5" x14ac:dyDescent="0.35">
      <c r="C26" s="11"/>
      <c r="D26" s="11"/>
      <c r="E26" s="11"/>
    </row>
  </sheetData>
  <mergeCells count="3">
    <mergeCell ref="D2:D23"/>
    <mergeCell ref="A2:A3"/>
    <mergeCell ref="C2:C3"/>
  </mergeCells>
  <phoneticPr fontId="13" type="noConversion"/>
  <conditionalFormatting sqref="B4:B23">
    <cfRule type="cellIs" dxfId="19" priority="6" operator="equal">
      <formula>"no"</formula>
    </cfRule>
    <cfRule type="cellIs" dxfId="18" priority="7" operator="equal">
      <formula>"intermittent"</formula>
    </cfRule>
    <cfRule type="cellIs" dxfId="17" priority="8" operator="equal">
      <formula>"available"</formula>
    </cfRule>
  </conditionalFormatting>
  <conditionalFormatting sqref="C4:C23">
    <cfRule type="cellIs" dxfId="16" priority="1" operator="equal">
      <formula>5</formula>
    </cfRule>
    <cfRule type="cellIs" dxfId="15" priority="2" operator="equal">
      <formula>4</formula>
    </cfRule>
    <cfRule type="cellIs" dxfId="14" priority="3" operator="equal">
      <formula>3</formula>
    </cfRule>
    <cfRule type="cellIs" dxfId="13" priority="4" operator="equal">
      <formula>2</formula>
    </cfRule>
    <cfRule type="cellIs" dxfId="12" priority="5"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H22"/>
  <sheetViews>
    <sheetView zoomScale="85" zoomScaleNormal="85" workbookViewId="0">
      <selection activeCell="D3" sqref="D3:H22"/>
    </sheetView>
  </sheetViews>
  <sheetFormatPr defaultRowHeight="14.5" x14ac:dyDescent="0.35"/>
  <cols>
    <col min="1" max="1" width="10.08984375" customWidth="1"/>
    <col min="3" max="3" width="9.453125" customWidth="1"/>
    <col min="4" max="6" width="11.36328125" customWidth="1"/>
    <col min="7" max="8" width="12.7265625" customWidth="1"/>
  </cols>
  <sheetData>
    <row r="1" spans="1:8" ht="16" customHeight="1" thickBot="1" x14ac:dyDescent="0.4">
      <c r="A1" s="29" t="s">
        <v>103</v>
      </c>
      <c r="B1" s="28"/>
      <c r="C1" s="28"/>
      <c r="D1" s="28"/>
      <c r="E1" s="28"/>
      <c r="F1" s="28"/>
      <c r="G1" s="28"/>
      <c r="H1" s="28"/>
    </row>
    <row r="2" spans="1:8" ht="38.5" customHeight="1" x14ac:dyDescent="0.35">
      <c r="A2" s="46" t="s">
        <v>44</v>
      </c>
      <c r="B2" s="47" t="s">
        <v>14</v>
      </c>
      <c r="C2" s="48" t="s">
        <v>45</v>
      </c>
      <c r="D2" s="45" t="s">
        <v>162</v>
      </c>
      <c r="E2" s="45" t="s">
        <v>163</v>
      </c>
      <c r="F2" s="45" t="s">
        <v>164</v>
      </c>
      <c r="G2" s="45" t="s">
        <v>165</v>
      </c>
      <c r="H2" s="45" t="s">
        <v>173</v>
      </c>
    </row>
    <row r="3" spans="1:8" x14ac:dyDescent="0.35">
      <c r="A3" s="13" t="s">
        <v>47</v>
      </c>
      <c r="B3" s="14" t="s">
        <v>48</v>
      </c>
      <c r="C3" s="25" t="s">
        <v>49</v>
      </c>
      <c r="D3" s="32">
        <f>VLOOKUP($A3,'Step 3 '!$A$4:$N$23,5,0)</f>
        <v>1</v>
      </c>
      <c r="E3" s="32">
        <f>VLOOKUP($A3,'Step 3 '!$A$4:$N$23,8,0)</f>
        <v>1</v>
      </c>
      <c r="F3" s="32">
        <f>VLOOKUP($A3,'Step 3 '!$A$4:$N$23,11,0)</f>
        <v>2</v>
      </c>
      <c r="G3" s="32">
        <f>VLOOKUP($A3,'Step 3 '!$A$4:$N$23,14,0)</f>
        <v>1</v>
      </c>
      <c r="H3" s="32">
        <f>VLOOKUP(B3,'Step 4'!$A$4:$C$23,3,0)</f>
        <v>1</v>
      </c>
    </row>
    <row r="4" spans="1:8" x14ac:dyDescent="0.35">
      <c r="A4" s="13" t="s">
        <v>50</v>
      </c>
      <c r="B4" s="14" t="s">
        <v>48</v>
      </c>
      <c r="C4" s="25" t="s">
        <v>49</v>
      </c>
      <c r="D4" s="32">
        <f>VLOOKUP($A4,'Step 3 '!$A$4:$N$23,5,0)</f>
        <v>1</v>
      </c>
      <c r="E4" s="32">
        <f>VLOOKUP($A4,'Step 3 '!$A$4:$N$23,8,0)</f>
        <v>1</v>
      </c>
      <c r="F4" s="32">
        <f>VLOOKUP($A4,'Step 3 '!$A$4:$N$23,11,0)</f>
        <v>4</v>
      </c>
      <c r="G4" s="32">
        <f>VLOOKUP($A4,'Step 3 '!$A$4:$N$23,14,0)</f>
        <v>3</v>
      </c>
      <c r="H4" s="32">
        <f>VLOOKUP(B4,'Step 4'!$A$4:$C$23,3,0)</f>
        <v>1</v>
      </c>
    </row>
    <row r="5" spans="1:8" x14ac:dyDescent="0.35">
      <c r="A5" s="13" t="s">
        <v>51</v>
      </c>
      <c r="B5" s="14" t="s">
        <v>48</v>
      </c>
      <c r="C5" s="25" t="s">
        <v>49</v>
      </c>
      <c r="D5" s="32">
        <f>VLOOKUP($A5,'Step 3 '!$A$4:$N$23,5,0)</f>
        <v>5</v>
      </c>
      <c r="E5" s="32">
        <f>VLOOKUP($A5,'Step 3 '!$A$4:$N$23,8,0)</f>
        <v>2</v>
      </c>
      <c r="F5" s="32">
        <f>VLOOKUP($A5,'Step 3 '!$A$4:$N$23,11,0)</f>
        <v>1</v>
      </c>
      <c r="G5" s="32">
        <f>VLOOKUP($A5,'Step 3 '!$A$4:$N$23,14,0)</f>
        <v>5</v>
      </c>
      <c r="H5" s="32">
        <f>VLOOKUP(B5,'Step 4'!$A$4:$C$23,3,0)</f>
        <v>1</v>
      </c>
    </row>
    <row r="6" spans="1:8" x14ac:dyDescent="0.35">
      <c r="A6" s="13" t="s">
        <v>52</v>
      </c>
      <c r="B6" s="14" t="s">
        <v>48</v>
      </c>
      <c r="C6" s="25" t="s">
        <v>49</v>
      </c>
      <c r="D6" s="32">
        <f>VLOOKUP($A6,'Step 3 '!$A$4:$N$23,5,0)</f>
        <v>4</v>
      </c>
      <c r="E6" s="32">
        <f>VLOOKUP($A6,'Step 3 '!$A$4:$N$23,8,0)</f>
        <v>1</v>
      </c>
      <c r="F6" s="32">
        <f>VLOOKUP($A6,'Step 3 '!$A$4:$N$23,11,0)</f>
        <v>4</v>
      </c>
      <c r="G6" s="32">
        <f>VLOOKUP($A6,'Step 3 '!$A$4:$N$23,14,0)</f>
        <v>1</v>
      </c>
      <c r="H6" s="32">
        <f>VLOOKUP(B6,'Step 4'!$A$4:$C$23,3,0)</f>
        <v>1</v>
      </c>
    </row>
    <row r="7" spans="1:8" x14ac:dyDescent="0.35">
      <c r="A7" s="13" t="s">
        <v>53</v>
      </c>
      <c r="B7" s="14" t="s">
        <v>48</v>
      </c>
      <c r="C7" s="25" t="s">
        <v>49</v>
      </c>
      <c r="D7" s="32">
        <f>VLOOKUP($A7,'Step 3 '!$A$4:$N$23,5,0)</f>
        <v>4</v>
      </c>
      <c r="E7" s="32">
        <f>VLOOKUP($A7,'Step 3 '!$A$4:$N$23,8,0)</f>
        <v>4</v>
      </c>
      <c r="F7" s="32">
        <f>VLOOKUP($A7,'Step 3 '!$A$4:$N$23,11,0)</f>
        <v>4</v>
      </c>
      <c r="G7" s="32">
        <f>VLOOKUP($A7,'Step 3 '!$A$4:$N$23,14,0)</f>
        <v>1</v>
      </c>
      <c r="H7" s="32">
        <f>VLOOKUP(B7,'Step 4'!$A$4:$C$23,3,0)</f>
        <v>1</v>
      </c>
    </row>
    <row r="8" spans="1:8" x14ac:dyDescent="0.35">
      <c r="A8" s="13" t="s">
        <v>54</v>
      </c>
      <c r="B8" s="14" t="s">
        <v>48</v>
      </c>
      <c r="C8" s="25" t="s">
        <v>70</v>
      </c>
      <c r="D8" s="32">
        <f>VLOOKUP($A8,'Step 3 '!$A$4:$N$23,5,0)</f>
        <v>1</v>
      </c>
      <c r="E8" s="32">
        <f>VLOOKUP($A8,'Step 3 '!$A$4:$N$23,8,0)</f>
        <v>2</v>
      </c>
      <c r="F8" s="32">
        <f>VLOOKUP($A8,'Step 3 '!$A$4:$N$23,11,0)</f>
        <v>2</v>
      </c>
      <c r="G8" s="32">
        <f>VLOOKUP($A8,'Step 3 '!$A$4:$N$23,14,0)</f>
        <v>3</v>
      </c>
      <c r="H8" s="32">
        <f>VLOOKUP(B8,'Step 4'!$A$4:$C$23,3,0)</f>
        <v>1</v>
      </c>
    </row>
    <row r="9" spans="1:8" x14ac:dyDescent="0.35">
      <c r="A9" s="13" t="s">
        <v>55</v>
      </c>
      <c r="B9" s="14" t="s">
        <v>48</v>
      </c>
      <c r="C9" s="25" t="s">
        <v>70</v>
      </c>
      <c r="D9" s="32">
        <f>VLOOKUP($A9,'Step 3 '!$A$4:$N$23,5,0)</f>
        <v>3</v>
      </c>
      <c r="E9" s="32">
        <f>VLOOKUP($A9,'Step 3 '!$A$4:$N$23,8,0)</f>
        <v>1</v>
      </c>
      <c r="F9" s="32">
        <f>VLOOKUP($A9,'Step 3 '!$A$4:$N$23,11,0)</f>
        <v>5</v>
      </c>
      <c r="G9" s="32">
        <f>VLOOKUP($A9,'Step 3 '!$A$4:$N$23,14,0)</f>
        <v>1</v>
      </c>
      <c r="H9" s="32">
        <f>VLOOKUP(B9,'Step 4'!$A$4:$C$23,3,0)</f>
        <v>1</v>
      </c>
    </row>
    <row r="10" spans="1:8" x14ac:dyDescent="0.35">
      <c r="A10" s="13" t="s">
        <v>56</v>
      </c>
      <c r="B10" s="14" t="s">
        <v>48</v>
      </c>
      <c r="C10" s="25" t="s">
        <v>70</v>
      </c>
      <c r="D10" s="32">
        <f>VLOOKUP($A10,'Step 3 '!$A$4:$N$23,5,0)</f>
        <v>3</v>
      </c>
      <c r="E10" s="32">
        <f>VLOOKUP($A10,'Step 3 '!$A$4:$N$23,8,0)</f>
        <v>3</v>
      </c>
      <c r="F10" s="32">
        <f>VLOOKUP($A10,'Step 3 '!$A$4:$N$23,11,0)</f>
        <v>4</v>
      </c>
      <c r="G10" s="32">
        <f>VLOOKUP($A10,'Step 3 '!$A$4:$N$23,14,0)</f>
        <v>3</v>
      </c>
      <c r="H10" s="32">
        <f>VLOOKUP(B10,'Step 4'!$A$4:$C$23,3,0)</f>
        <v>1</v>
      </c>
    </row>
    <row r="11" spans="1:8" x14ac:dyDescent="0.35">
      <c r="A11" s="13" t="s">
        <v>57</v>
      </c>
      <c r="B11" s="14" t="s">
        <v>48</v>
      </c>
      <c r="C11" s="25" t="s">
        <v>70</v>
      </c>
      <c r="D11" s="32">
        <f>VLOOKUP($A11,'Step 3 '!$A$4:$N$23,5,0)</f>
        <v>2</v>
      </c>
      <c r="E11" s="32">
        <f>VLOOKUP($A11,'Step 3 '!$A$4:$N$23,8,0)</f>
        <v>2</v>
      </c>
      <c r="F11" s="32">
        <f>VLOOKUP($A11,'Step 3 '!$A$4:$N$23,11,0)</f>
        <v>2</v>
      </c>
      <c r="G11" s="32">
        <f>VLOOKUP($A11,'Step 3 '!$A$4:$N$23,14,0)</f>
        <v>3</v>
      </c>
      <c r="H11" s="32">
        <f>VLOOKUP(B11,'Step 4'!$A$4:$C$23,3,0)</f>
        <v>1</v>
      </c>
    </row>
    <row r="12" spans="1:8" x14ac:dyDescent="0.35">
      <c r="A12" s="13" t="s">
        <v>58</v>
      </c>
      <c r="B12" s="14" t="s">
        <v>48</v>
      </c>
      <c r="C12" s="25" t="s">
        <v>70</v>
      </c>
      <c r="D12" s="32">
        <f>VLOOKUP($A12,'Step 3 '!$A$4:$N$23,5,0)</f>
        <v>2</v>
      </c>
      <c r="E12" s="32">
        <f>VLOOKUP($A12,'Step 3 '!$A$4:$N$23,8,0)</f>
        <v>4</v>
      </c>
      <c r="F12" s="32">
        <f>VLOOKUP($A12,'Step 3 '!$A$4:$N$23,11,0)</f>
        <v>4</v>
      </c>
      <c r="G12" s="32">
        <f>VLOOKUP($A12,'Step 3 '!$A$4:$N$23,14,0)</f>
        <v>1</v>
      </c>
      <c r="H12" s="32">
        <f>VLOOKUP(B12,'Step 4'!$A$4:$C$23,3,0)</f>
        <v>1</v>
      </c>
    </row>
    <row r="13" spans="1:8" x14ac:dyDescent="0.35">
      <c r="A13" s="15" t="s">
        <v>59</v>
      </c>
      <c r="B13" s="16" t="s">
        <v>60</v>
      </c>
      <c r="C13" s="26" t="s">
        <v>49</v>
      </c>
      <c r="D13" s="32">
        <f>VLOOKUP($A13,'Step 3 '!$A$4:$N$23,5,0)</f>
        <v>2</v>
      </c>
      <c r="E13" s="32">
        <f>VLOOKUP($A13,'Step 3 '!$A$4:$N$23,8,0)</f>
        <v>1</v>
      </c>
      <c r="F13" s="32">
        <f>VLOOKUP($A13,'Step 3 '!$A$4:$N$23,11,0)</f>
        <v>4</v>
      </c>
      <c r="G13" s="32">
        <f>VLOOKUP($A13,'Step 3 '!$A$4:$N$23,14,0)</f>
        <v>1</v>
      </c>
      <c r="H13" s="32">
        <f>VLOOKUP(B13,'Step 4'!$A$4:$C$23,3,0)</f>
        <v>3</v>
      </c>
    </row>
    <row r="14" spans="1:8" x14ac:dyDescent="0.35">
      <c r="A14" s="15" t="s">
        <v>61</v>
      </c>
      <c r="B14" s="16" t="s">
        <v>60</v>
      </c>
      <c r="C14" s="26" t="s">
        <v>49</v>
      </c>
      <c r="D14" s="32">
        <f>VLOOKUP($A14,'Step 3 '!$A$4:$N$23,5,0)</f>
        <v>4</v>
      </c>
      <c r="E14" s="32">
        <f>VLOOKUP($A14,'Step 3 '!$A$4:$N$23,8,0)</f>
        <v>5</v>
      </c>
      <c r="F14" s="32">
        <f>VLOOKUP($A14,'Step 3 '!$A$4:$N$23,11,0)</f>
        <v>5</v>
      </c>
      <c r="G14" s="32">
        <f>VLOOKUP($A14,'Step 3 '!$A$4:$N$23,14,0)</f>
        <v>3</v>
      </c>
      <c r="H14" s="32">
        <f>VLOOKUP(B14,'Step 4'!$A$4:$C$23,3,0)</f>
        <v>3</v>
      </c>
    </row>
    <row r="15" spans="1:8" x14ac:dyDescent="0.35">
      <c r="A15" s="15" t="s">
        <v>62</v>
      </c>
      <c r="B15" s="16" t="s">
        <v>60</v>
      </c>
      <c r="C15" s="26" t="s">
        <v>49</v>
      </c>
      <c r="D15" s="32">
        <f>VLOOKUP($A15,'Step 3 '!$A$4:$N$23,5,0)</f>
        <v>4</v>
      </c>
      <c r="E15" s="32">
        <f>VLOOKUP($A15,'Step 3 '!$A$4:$N$23,8,0)</f>
        <v>1</v>
      </c>
      <c r="F15" s="32">
        <f>VLOOKUP($A15,'Step 3 '!$A$4:$N$23,11,0)</f>
        <v>2</v>
      </c>
      <c r="G15" s="32">
        <f>VLOOKUP($A15,'Step 3 '!$A$4:$N$23,14,0)</f>
        <v>1</v>
      </c>
      <c r="H15" s="32">
        <f>VLOOKUP(B15,'Step 4'!$A$4:$C$23,3,0)</f>
        <v>3</v>
      </c>
    </row>
    <row r="16" spans="1:8" x14ac:dyDescent="0.35">
      <c r="A16" s="15" t="s">
        <v>63</v>
      </c>
      <c r="B16" s="16" t="s">
        <v>60</v>
      </c>
      <c r="C16" s="26" t="s">
        <v>49</v>
      </c>
      <c r="D16" s="32">
        <f>VLOOKUP($A16,'Step 3 '!$A$4:$N$23,5,0)</f>
        <v>2</v>
      </c>
      <c r="E16" s="32">
        <f>VLOOKUP($A16,'Step 3 '!$A$4:$N$23,8,0)</f>
        <v>1</v>
      </c>
      <c r="F16" s="32">
        <f>VLOOKUP($A16,'Step 3 '!$A$4:$N$23,11,0)</f>
        <v>3</v>
      </c>
      <c r="G16" s="32">
        <f>VLOOKUP($A16,'Step 3 '!$A$4:$N$23,14,0)</f>
        <v>1</v>
      </c>
      <c r="H16" s="32">
        <f>VLOOKUP(B16,'Step 4'!$A$4:$C$23,3,0)</f>
        <v>3</v>
      </c>
    </row>
    <row r="17" spans="1:8" x14ac:dyDescent="0.35">
      <c r="A17" s="15" t="s">
        <v>64</v>
      </c>
      <c r="B17" s="16" t="s">
        <v>60</v>
      </c>
      <c r="C17" s="26" t="s">
        <v>49</v>
      </c>
      <c r="D17" s="32">
        <f>VLOOKUP($A17,'Step 3 '!$A$4:$N$23,5,0)</f>
        <v>1</v>
      </c>
      <c r="E17" s="32">
        <f>VLOOKUP($A17,'Step 3 '!$A$4:$N$23,8,0)</f>
        <v>1</v>
      </c>
      <c r="F17" s="32">
        <f>VLOOKUP($A17,'Step 3 '!$A$4:$N$23,11,0)</f>
        <v>1</v>
      </c>
      <c r="G17" s="32">
        <f>VLOOKUP($A17,'Step 3 '!$A$4:$N$23,14,0)</f>
        <v>1</v>
      </c>
      <c r="H17" s="32">
        <f>VLOOKUP(B17,'Step 4'!$A$4:$C$23,3,0)</f>
        <v>3</v>
      </c>
    </row>
    <row r="18" spans="1:8" x14ac:dyDescent="0.35">
      <c r="A18" s="15" t="s">
        <v>65</v>
      </c>
      <c r="B18" s="16" t="s">
        <v>60</v>
      </c>
      <c r="C18" s="26" t="s">
        <v>70</v>
      </c>
      <c r="D18" s="32">
        <f>VLOOKUP($A18,'Step 3 '!$A$4:$N$23,5,0)</f>
        <v>2</v>
      </c>
      <c r="E18" s="32">
        <f>VLOOKUP($A18,'Step 3 '!$A$4:$N$23,8,0)</f>
        <v>1</v>
      </c>
      <c r="F18" s="32">
        <f>VLOOKUP($A18,'Step 3 '!$A$4:$N$23,11,0)</f>
        <v>1</v>
      </c>
      <c r="G18" s="32">
        <f>VLOOKUP($A18,'Step 3 '!$A$4:$N$23,14,0)</f>
        <v>1</v>
      </c>
      <c r="H18" s="32">
        <f>VLOOKUP(B18,'Step 4'!$A$4:$C$23,3,0)</f>
        <v>3</v>
      </c>
    </row>
    <row r="19" spans="1:8" x14ac:dyDescent="0.35">
      <c r="A19" s="15" t="s">
        <v>66</v>
      </c>
      <c r="B19" s="16" t="s">
        <v>60</v>
      </c>
      <c r="C19" s="26" t="s">
        <v>70</v>
      </c>
      <c r="D19" s="32">
        <f>VLOOKUP($A19,'Step 3 '!$A$4:$N$23,5,0)</f>
        <v>5</v>
      </c>
      <c r="E19" s="32">
        <f>VLOOKUP($A19,'Step 3 '!$A$4:$N$23,8,0)</f>
        <v>4</v>
      </c>
      <c r="F19" s="32">
        <f>VLOOKUP($A19,'Step 3 '!$A$4:$N$23,11,0)</f>
        <v>4</v>
      </c>
      <c r="G19" s="32">
        <f>VLOOKUP($A19,'Step 3 '!$A$4:$N$23,14,0)</f>
        <v>1</v>
      </c>
      <c r="H19" s="32">
        <f>VLOOKUP(B19,'Step 4'!$A$4:$C$23,3,0)</f>
        <v>3</v>
      </c>
    </row>
    <row r="20" spans="1:8" x14ac:dyDescent="0.35">
      <c r="A20" s="15" t="s">
        <v>67</v>
      </c>
      <c r="B20" s="16" t="s">
        <v>60</v>
      </c>
      <c r="C20" s="26" t="s">
        <v>70</v>
      </c>
      <c r="D20" s="32">
        <f>VLOOKUP($A20,'Step 3 '!$A$4:$N$23,5,0)</f>
        <v>4</v>
      </c>
      <c r="E20" s="32">
        <f>VLOOKUP($A20,'Step 3 '!$A$4:$N$23,8,0)</f>
        <v>3</v>
      </c>
      <c r="F20" s="32">
        <f>VLOOKUP($A20,'Step 3 '!$A$4:$N$23,11,0)</f>
        <v>3</v>
      </c>
      <c r="G20" s="32">
        <f>VLOOKUP($A20,'Step 3 '!$A$4:$N$23,14,0)</f>
        <v>5</v>
      </c>
      <c r="H20" s="32">
        <f>VLOOKUP(B20,'Step 4'!$A$4:$C$23,3,0)</f>
        <v>3</v>
      </c>
    </row>
    <row r="21" spans="1:8" x14ac:dyDescent="0.35">
      <c r="A21" s="15" t="s">
        <v>68</v>
      </c>
      <c r="B21" s="16" t="s">
        <v>60</v>
      </c>
      <c r="C21" s="26" t="s">
        <v>70</v>
      </c>
      <c r="D21" s="32">
        <f>VLOOKUP($A21,'Step 3 '!$A$4:$N$23,5,0)</f>
        <v>2</v>
      </c>
      <c r="E21" s="32">
        <f>VLOOKUP($A21,'Step 3 '!$A$4:$N$23,8,0)</f>
        <v>1</v>
      </c>
      <c r="F21" s="32">
        <f>VLOOKUP($A21,'Step 3 '!$A$4:$N$23,11,0)</f>
        <v>4</v>
      </c>
      <c r="G21" s="32">
        <f>VLOOKUP($A21,'Step 3 '!$A$4:$N$23,14,0)</f>
        <v>1</v>
      </c>
      <c r="H21" s="32">
        <f>VLOOKUP(B21,'Step 4'!$A$4:$C$23,3,0)</f>
        <v>3</v>
      </c>
    </row>
    <row r="22" spans="1:8" ht="15" thickBot="1" x14ac:dyDescent="0.4">
      <c r="A22" s="17" t="s">
        <v>69</v>
      </c>
      <c r="B22" s="18" t="s">
        <v>60</v>
      </c>
      <c r="C22" s="27" t="s">
        <v>70</v>
      </c>
      <c r="D22" s="32">
        <f>VLOOKUP($A22,'Step 3 '!$A$4:$N$23,5,0)</f>
        <v>5</v>
      </c>
      <c r="E22" s="32">
        <f>VLOOKUP($A22,'Step 3 '!$A$4:$N$23,8,0)</f>
        <v>1</v>
      </c>
      <c r="F22" s="32">
        <f>VLOOKUP($A22,'Step 3 '!$A$4:$N$23,11,0)</f>
        <v>3</v>
      </c>
      <c r="G22" s="32">
        <f>VLOOKUP($A22,'Step 3 '!$A$4:$N$23,14,0)</f>
        <v>1</v>
      </c>
      <c r="H22" s="32">
        <f>VLOOKUP(B22,'Step 4'!$A$4:$C$23,3,0)</f>
        <v>3</v>
      </c>
    </row>
  </sheetData>
  <phoneticPr fontId="13" type="noConversion"/>
  <conditionalFormatting sqref="D3:H22">
    <cfRule type="cellIs" dxfId="11" priority="1" operator="equal">
      <formula>5</formula>
    </cfRule>
    <cfRule type="cellIs" dxfId="10" priority="2" operator="equal">
      <formula>4</formula>
    </cfRule>
    <cfRule type="cellIs" dxfId="9" priority="3" operator="equal">
      <formula>3</formula>
    </cfRule>
    <cfRule type="cellIs" dxfId="8" priority="4" operator="equal">
      <formula>2</formula>
    </cfRule>
    <cfRule type="cellIs" dxfId="7"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81A6-5356-4008-B7EE-C69382FB24BB}">
  <dimension ref="A1:P25"/>
  <sheetViews>
    <sheetView topLeftCell="C1" zoomScale="85" zoomScaleNormal="85" workbookViewId="0">
      <selection activeCell="P3" sqref="P3:P22"/>
    </sheetView>
  </sheetViews>
  <sheetFormatPr defaultRowHeight="13" x14ac:dyDescent="0.3"/>
  <cols>
    <col min="1" max="1" width="14.6328125" style="1" customWidth="1"/>
    <col min="2" max="2" width="8.7265625" style="1"/>
    <col min="3" max="3" width="12.6328125" style="1" customWidth="1"/>
    <col min="4" max="4" width="11.36328125" style="1" customWidth="1"/>
    <col min="5" max="5" width="12.36328125" style="1" customWidth="1"/>
    <col min="6" max="6" width="12.90625" style="1" customWidth="1"/>
    <col min="7" max="8" width="12.7265625" style="1" customWidth="1"/>
    <col min="9" max="13" width="8.7265625" style="1"/>
    <col min="14" max="14" width="21.1796875" style="1" customWidth="1"/>
    <col min="15" max="15" width="24.90625" style="1" customWidth="1"/>
    <col min="16" max="16" width="27.1796875" style="1" customWidth="1"/>
    <col min="17" max="16384" width="8.7265625" style="1"/>
  </cols>
  <sheetData>
    <row r="1" spans="1:16" ht="31" customHeight="1" thickBot="1" x14ac:dyDescent="0.35">
      <c r="A1" s="49" t="s">
        <v>146</v>
      </c>
      <c r="I1" s="166" t="s">
        <v>109</v>
      </c>
      <c r="J1" s="166"/>
      <c r="K1" s="166"/>
      <c r="L1" s="166"/>
      <c r="M1" s="166"/>
      <c r="N1" s="51" t="s">
        <v>113</v>
      </c>
      <c r="O1" s="51" t="s">
        <v>116</v>
      </c>
      <c r="P1" s="51" t="s">
        <v>117</v>
      </c>
    </row>
    <row r="2" spans="1:16" ht="39" customHeight="1" thickBot="1" x14ac:dyDescent="0.35">
      <c r="A2" s="137" t="s">
        <v>44</v>
      </c>
      <c r="B2" s="138" t="s">
        <v>14</v>
      </c>
      <c r="C2" s="139" t="s">
        <v>45</v>
      </c>
      <c r="D2" s="140" t="s">
        <v>106</v>
      </c>
      <c r="E2" s="141" t="s">
        <v>104</v>
      </c>
      <c r="F2" s="141" t="s">
        <v>107</v>
      </c>
      <c r="G2" s="141" t="s">
        <v>105</v>
      </c>
      <c r="H2" s="141" t="s">
        <v>108</v>
      </c>
      <c r="I2" s="142">
        <v>1</v>
      </c>
      <c r="J2" s="142">
        <v>2</v>
      </c>
      <c r="K2" s="142">
        <v>3</v>
      </c>
      <c r="L2" s="142">
        <v>4</v>
      </c>
      <c r="M2" s="143">
        <v>5</v>
      </c>
      <c r="N2" s="130" t="s">
        <v>110</v>
      </c>
      <c r="O2" s="131" t="s">
        <v>111</v>
      </c>
      <c r="P2" s="132" t="s">
        <v>112</v>
      </c>
    </row>
    <row r="3" spans="1:16" x14ac:dyDescent="0.3">
      <c r="A3" s="133" t="s">
        <v>47</v>
      </c>
      <c r="B3" s="134" t="s">
        <v>48</v>
      </c>
      <c r="C3" s="135" t="s">
        <v>49</v>
      </c>
      <c r="D3" s="136">
        <f>VLOOKUP($A3,'Step 5'!$A$3:$H$22,4,0)</f>
        <v>1</v>
      </c>
      <c r="E3" s="136">
        <f>VLOOKUP($A3,'Step 5'!$A$3:$H$22,5,0)</f>
        <v>1</v>
      </c>
      <c r="F3" s="136">
        <f>VLOOKUP($A3,'Step 5'!$A$3:$H$22,6,0)</f>
        <v>2</v>
      </c>
      <c r="G3" s="136">
        <f>VLOOKUP($A3,'Step 5'!$A$3:$H$22,7,0)</f>
        <v>1</v>
      </c>
      <c r="H3" s="136">
        <f>VLOOKUP($A3,'Step 5'!$A$3:$H$22,8,0)</f>
        <v>1</v>
      </c>
      <c r="I3" s="129">
        <f t="shared" ref="I3:I22" si="0">LARGE($D3:$H3,1)</f>
        <v>2</v>
      </c>
      <c r="J3" s="129">
        <f t="shared" ref="J3:J22" si="1">LARGE($D3:$H3,2)</f>
        <v>1</v>
      </c>
      <c r="K3" s="129">
        <f t="shared" ref="K3:K22" si="2">LARGE($D3:$H3,3)</f>
        <v>1</v>
      </c>
      <c r="L3" s="129">
        <f t="shared" ref="L3:L22" si="3">LARGE($D3:$H3,4)</f>
        <v>1</v>
      </c>
      <c r="M3" s="129">
        <f t="shared" ref="M3:M22" si="4">LARGE($D3:$H3,5)</f>
        <v>1</v>
      </c>
      <c r="N3" s="129">
        <f>ROUND(AVERAGE(I3:K3),0)</f>
        <v>1</v>
      </c>
      <c r="O3" s="129">
        <f t="shared" ref="O3:O22" si="5">MAX(D3:E3)</f>
        <v>1</v>
      </c>
      <c r="P3" s="144">
        <f>MAX(N3:O3)</f>
        <v>1</v>
      </c>
    </row>
    <row r="4" spans="1:16" x14ac:dyDescent="0.3">
      <c r="A4" s="13" t="s">
        <v>50</v>
      </c>
      <c r="B4" s="14" t="s">
        <v>48</v>
      </c>
      <c r="C4" s="25" t="s">
        <v>49</v>
      </c>
      <c r="D4" s="43">
        <f>VLOOKUP($A4,'Step 5'!$A$3:$H$22,4,0)</f>
        <v>1</v>
      </c>
      <c r="E4" s="43">
        <f>VLOOKUP($A4,'Step 5'!$A$3:$H$22,5,0)</f>
        <v>1</v>
      </c>
      <c r="F4" s="43">
        <f>VLOOKUP($A4,'Step 5'!$A$3:$H$22,6,0)</f>
        <v>4</v>
      </c>
      <c r="G4" s="43">
        <f>VLOOKUP($A4,'Step 5'!$A$3:$H$22,7,0)</f>
        <v>3</v>
      </c>
      <c r="H4" s="43">
        <f>VLOOKUP($A4,'Step 5'!$A$3:$H$22,8,0)</f>
        <v>1</v>
      </c>
      <c r="I4" s="50">
        <f t="shared" si="0"/>
        <v>4</v>
      </c>
      <c r="J4" s="50">
        <f t="shared" si="1"/>
        <v>3</v>
      </c>
      <c r="K4" s="50">
        <f t="shared" si="2"/>
        <v>1</v>
      </c>
      <c r="L4" s="50">
        <f t="shared" si="3"/>
        <v>1</v>
      </c>
      <c r="M4" s="50">
        <f t="shared" si="4"/>
        <v>1</v>
      </c>
      <c r="N4" s="50">
        <f t="shared" ref="N4:N22" si="6">ROUND(AVERAGE(I4:K4),0)</f>
        <v>3</v>
      </c>
      <c r="O4" s="50">
        <f t="shared" si="5"/>
        <v>1</v>
      </c>
      <c r="P4" s="32">
        <f t="shared" ref="P4:P22" si="7">MAX(N4:O4)</f>
        <v>3</v>
      </c>
    </row>
    <row r="5" spans="1:16" x14ac:dyDescent="0.3">
      <c r="A5" s="13" t="s">
        <v>51</v>
      </c>
      <c r="B5" s="14" t="s">
        <v>48</v>
      </c>
      <c r="C5" s="25" t="s">
        <v>49</v>
      </c>
      <c r="D5" s="43">
        <f>VLOOKUP($A5,'Step 5'!$A$3:$H$22,4,0)</f>
        <v>5</v>
      </c>
      <c r="E5" s="43">
        <f>VLOOKUP($A5,'Step 5'!$A$3:$H$22,5,0)</f>
        <v>2</v>
      </c>
      <c r="F5" s="43">
        <f>VLOOKUP($A5,'Step 5'!$A$3:$H$22,6,0)</f>
        <v>1</v>
      </c>
      <c r="G5" s="43">
        <f>VLOOKUP($A5,'Step 5'!$A$3:$H$22,7,0)</f>
        <v>5</v>
      </c>
      <c r="H5" s="43">
        <f>VLOOKUP($A5,'Step 5'!$A$3:$H$22,8,0)</f>
        <v>1</v>
      </c>
      <c r="I5" s="50">
        <f t="shared" si="0"/>
        <v>5</v>
      </c>
      <c r="J5" s="50">
        <f t="shared" si="1"/>
        <v>5</v>
      </c>
      <c r="K5" s="50">
        <f t="shared" si="2"/>
        <v>2</v>
      </c>
      <c r="L5" s="50">
        <f t="shared" si="3"/>
        <v>1</v>
      </c>
      <c r="M5" s="50">
        <f t="shared" si="4"/>
        <v>1</v>
      </c>
      <c r="N5" s="50">
        <f t="shared" si="6"/>
        <v>4</v>
      </c>
      <c r="O5" s="50">
        <f t="shared" si="5"/>
        <v>5</v>
      </c>
      <c r="P5" s="32">
        <f t="shared" si="7"/>
        <v>5</v>
      </c>
    </row>
    <row r="6" spans="1:16" x14ac:dyDescent="0.3">
      <c r="A6" s="13" t="s">
        <v>52</v>
      </c>
      <c r="B6" s="14" t="s">
        <v>48</v>
      </c>
      <c r="C6" s="25" t="s">
        <v>49</v>
      </c>
      <c r="D6" s="43">
        <f>VLOOKUP($A6,'Step 5'!$A$3:$H$22,4,0)</f>
        <v>4</v>
      </c>
      <c r="E6" s="43">
        <f>VLOOKUP($A6,'Step 5'!$A$3:$H$22,5,0)</f>
        <v>1</v>
      </c>
      <c r="F6" s="43">
        <f>VLOOKUP($A6,'Step 5'!$A$3:$H$22,6,0)</f>
        <v>4</v>
      </c>
      <c r="G6" s="43">
        <f>VLOOKUP($A6,'Step 5'!$A$3:$H$22,7,0)</f>
        <v>1</v>
      </c>
      <c r="H6" s="43">
        <f>VLOOKUP($A6,'Step 5'!$A$3:$H$22,8,0)</f>
        <v>1</v>
      </c>
      <c r="I6" s="50">
        <f t="shared" si="0"/>
        <v>4</v>
      </c>
      <c r="J6" s="50">
        <f t="shared" si="1"/>
        <v>4</v>
      </c>
      <c r="K6" s="50">
        <f t="shared" si="2"/>
        <v>1</v>
      </c>
      <c r="L6" s="50">
        <f t="shared" si="3"/>
        <v>1</v>
      </c>
      <c r="M6" s="50">
        <f t="shared" si="4"/>
        <v>1</v>
      </c>
      <c r="N6" s="50">
        <f t="shared" si="6"/>
        <v>3</v>
      </c>
      <c r="O6" s="50">
        <f t="shared" si="5"/>
        <v>4</v>
      </c>
      <c r="P6" s="32">
        <f t="shared" si="7"/>
        <v>4</v>
      </c>
    </row>
    <row r="7" spans="1:16" x14ac:dyDescent="0.3">
      <c r="A7" s="13" t="s">
        <v>53</v>
      </c>
      <c r="B7" s="14" t="s">
        <v>48</v>
      </c>
      <c r="C7" s="25" t="s">
        <v>49</v>
      </c>
      <c r="D7" s="43">
        <f>VLOOKUP($A7,'Step 5'!$A$3:$H$22,4,0)</f>
        <v>4</v>
      </c>
      <c r="E7" s="43">
        <f>VLOOKUP($A7,'Step 5'!$A$3:$H$22,5,0)</f>
        <v>4</v>
      </c>
      <c r="F7" s="43">
        <f>VLOOKUP($A7,'Step 5'!$A$3:$H$22,6,0)</f>
        <v>4</v>
      </c>
      <c r="G7" s="43">
        <f>VLOOKUP($A7,'Step 5'!$A$3:$H$22,7,0)</f>
        <v>1</v>
      </c>
      <c r="H7" s="43">
        <f>VLOOKUP($A7,'Step 5'!$A$3:$H$22,8,0)</f>
        <v>1</v>
      </c>
      <c r="I7" s="50">
        <f t="shared" si="0"/>
        <v>4</v>
      </c>
      <c r="J7" s="50">
        <f t="shared" si="1"/>
        <v>4</v>
      </c>
      <c r="K7" s="50">
        <f t="shared" si="2"/>
        <v>4</v>
      </c>
      <c r="L7" s="50">
        <f t="shared" si="3"/>
        <v>1</v>
      </c>
      <c r="M7" s="50">
        <f t="shared" si="4"/>
        <v>1</v>
      </c>
      <c r="N7" s="50">
        <f t="shared" si="6"/>
        <v>4</v>
      </c>
      <c r="O7" s="50">
        <f t="shared" si="5"/>
        <v>4</v>
      </c>
      <c r="P7" s="32">
        <f t="shared" si="7"/>
        <v>4</v>
      </c>
    </row>
    <row r="8" spans="1:16" x14ac:dyDescent="0.3">
      <c r="A8" s="13" t="s">
        <v>54</v>
      </c>
      <c r="B8" s="14" t="s">
        <v>48</v>
      </c>
      <c r="C8" s="25" t="s">
        <v>70</v>
      </c>
      <c r="D8" s="43">
        <f>VLOOKUP($A8,'Step 5'!$A$3:$H$22,4,0)</f>
        <v>1</v>
      </c>
      <c r="E8" s="43">
        <f>VLOOKUP($A8,'Step 5'!$A$3:$H$22,5,0)</f>
        <v>2</v>
      </c>
      <c r="F8" s="43">
        <f>VLOOKUP($A8,'Step 5'!$A$3:$H$22,6,0)</f>
        <v>2</v>
      </c>
      <c r="G8" s="43">
        <f>VLOOKUP($A8,'Step 5'!$A$3:$H$22,7,0)</f>
        <v>3</v>
      </c>
      <c r="H8" s="43">
        <f>VLOOKUP($A8,'Step 5'!$A$3:$H$22,8,0)</f>
        <v>1</v>
      </c>
      <c r="I8" s="50">
        <f t="shared" si="0"/>
        <v>3</v>
      </c>
      <c r="J8" s="50">
        <f t="shared" si="1"/>
        <v>2</v>
      </c>
      <c r="K8" s="50">
        <f t="shared" si="2"/>
        <v>2</v>
      </c>
      <c r="L8" s="50">
        <f t="shared" si="3"/>
        <v>1</v>
      </c>
      <c r="M8" s="50">
        <f t="shared" si="4"/>
        <v>1</v>
      </c>
      <c r="N8" s="50">
        <f t="shared" si="6"/>
        <v>2</v>
      </c>
      <c r="O8" s="50">
        <f t="shared" si="5"/>
        <v>2</v>
      </c>
      <c r="P8" s="32">
        <f t="shared" si="7"/>
        <v>2</v>
      </c>
    </row>
    <row r="9" spans="1:16" x14ac:dyDescent="0.3">
      <c r="A9" s="13" t="s">
        <v>55</v>
      </c>
      <c r="B9" s="14" t="s">
        <v>48</v>
      </c>
      <c r="C9" s="25" t="s">
        <v>70</v>
      </c>
      <c r="D9" s="43">
        <f>VLOOKUP($A9,'Step 5'!$A$3:$H$22,4,0)</f>
        <v>3</v>
      </c>
      <c r="E9" s="43">
        <f>VLOOKUP($A9,'Step 5'!$A$3:$H$22,5,0)</f>
        <v>1</v>
      </c>
      <c r="F9" s="43">
        <f>VLOOKUP($A9,'Step 5'!$A$3:$H$22,6,0)</f>
        <v>5</v>
      </c>
      <c r="G9" s="43">
        <f>VLOOKUP($A9,'Step 5'!$A$3:$H$22,7,0)</f>
        <v>1</v>
      </c>
      <c r="H9" s="43">
        <f>VLOOKUP($A9,'Step 5'!$A$3:$H$22,8,0)</f>
        <v>1</v>
      </c>
      <c r="I9" s="50">
        <f t="shared" si="0"/>
        <v>5</v>
      </c>
      <c r="J9" s="50">
        <f t="shared" si="1"/>
        <v>3</v>
      </c>
      <c r="K9" s="50">
        <f t="shared" si="2"/>
        <v>1</v>
      </c>
      <c r="L9" s="50">
        <f t="shared" si="3"/>
        <v>1</v>
      </c>
      <c r="M9" s="50">
        <f t="shared" si="4"/>
        <v>1</v>
      </c>
      <c r="N9" s="50">
        <f t="shared" si="6"/>
        <v>3</v>
      </c>
      <c r="O9" s="50">
        <f t="shared" si="5"/>
        <v>3</v>
      </c>
      <c r="P9" s="32">
        <f t="shared" si="7"/>
        <v>3</v>
      </c>
    </row>
    <row r="10" spans="1:16" x14ac:dyDescent="0.3">
      <c r="A10" s="13" t="s">
        <v>56</v>
      </c>
      <c r="B10" s="14" t="s">
        <v>48</v>
      </c>
      <c r="C10" s="25" t="s">
        <v>70</v>
      </c>
      <c r="D10" s="43">
        <f>VLOOKUP($A10,'Step 5'!$A$3:$H$22,4,0)</f>
        <v>3</v>
      </c>
      <c r="E10" s="43">
        <f>VLOOKUP($A10,'Step 5'!$A$3:$H$22,5,0)</f>
        <v>3</v>
      </c>
      <c r="F10" s="43">
        <f>VLOOKUP($A10,'Step 5'!$A$3:$H$22,6,0)</f>
        <v>4</v>
      </c>
      <c r="G10" s="43">
        <f>VLOOKUP($A10,'Step 5'!$A$3:$H$22,7,0)</f>
        <v>3</v>
      </c>
      <c r="H10" s="43">
        <f>VLOOKUP($A10,'Step 5'!$A$3:$H$22,8,0)</f>
        <v>1</v>
      </c>
      <c r="I10" s="50">
        <f t="shared" si="0"/>
        <v>4</v>
      </c>
      <c r="J10" s="50">
        <f t="shared" si="1"/>
        <v>3</v>
      </c>
      <c r="K10" s="50">
        <f t="shared" si="2"/>
        <v>3</v>
      </c>
      <c r="L10" s="50">
        <f t="shared" si="3"/>
        <v>3</v>
      </c>
      <c r="M10" s="50">
        <f t="shared" si="4"/>
        <v>1</v>
      </c>
      <c r="N10" s="50">
        <f t="shared" si="6"/>
        <v>3</v>
      </c>
      <c r="O10" s="120">
        <f t="shared" si="5"/>
        <v>3</v>
      </c>
      <c r="P10" s="32">
        <f t="shared" si="7"/>
        <v>3</v>
      </c>
    </row>
    <row r="11" spans="1:16" x14ac:dyDescent="0.3">
      <c r="A11" s="13" t="s">
        <v>57</v>
      </c>
      <c r="B11" s="14" t="s">
        <v>48</v>
      </c>
      <c r="C11" s="25" t="s">
        <v>70</v>
      </c>
      <c r="D11" s="43">
        <f>VLOOKUP($A11,'Step 5'!$A$3:$H$22,4,0)</f>
        <v>2</v>
      </c>
      <c r="E11" s="43">
        <f>VLOOKUP($A11,'Step 5'!$A$3:$H$22,5,0)</f>
        <v>2</v>
      </c>
      <c r="F11" s="43">
        <f>VLOOKUP($A11,'Step 5'!$A$3:$H$22,6,0)</f>
        <v>2</v>
      </c>
      <c r="G11" s="43">
        <f>VLOOKUP($A11,'Step 5'!$A$3:$H$22,7,0)</f>
        <v>3</v>
      </c>
      <c r="H11" s="43">
        <f>VLOOKUP($A11,'Step 5'!$A$3:$H$22,8,0)</f>
        <v>1</v>
      </c>
      <c r="I11" s="50">
        <f t="shared" si="0"/>
        <v>3</v>
      </c>
      <c r="J11" s="50">
        <f t="shared" si="1"/>
        <v>2</v>
      </c>
      <c r="K11" s="50">
        <f t="shared" si="2"/>
        <v>2</v>
      </c>
      <c r="L11" s="50">
        <f t="shared" si="3"/>
        <v>2</v>
      </c>
      <c r="M11" s="50">
        <f t="shared" si="4"/>
        <v>1</v>
      </c>
      <c r="N11" s="50">
        <f t="shared" si="6"/>
        <v>2</v>
      </c>
      <c r="O11" s="120">
        <f t="shared" si="5"/>
        <v>2</v>
      </c>
      <c r="P11" s="32">
        <f t="shared" si="7"/>
        <v>2</v>
      </c>
    </row>
    <row r="12" spans="1:16" x14ac:dyDescent="0.3">
      <c r="A12" s="13" t="s">
        <v>58</v>
      </c>
      <c r="B12" s="14" t="s">
        <v>48</v>
      </c>
      <c r="C12" s="25" t="s">
        <v>70</v>
      </c>
      <c r="D12" s="43">
        <f>VLOOKUP($A12,'Step 5'!$A$3:$H$22,4,0)</f>
        <v>2</v>
      </c>
      <c r="E12" s="43">
        <f>VLOOKUP($A12,'Step 5'!$A$3:$H$22,5,0)</f>
        <v>4</v>
      </c>
      <c r="F12" s="43">
        <f>VLOOKUP($A12,'Step 5'!$A$3:$H$22,6,0)</f>
        <v>4</v>
      </c>
      <c r="G12" s="43">
        <f>VLOOKUP($A12,'Step 5'!$A$3:$H$22,7,0)</f>
        <v>1</v>
      </c>
      <c r="H12" s="43">
        <f>VLOOKUP($A12,'Step 5'!$A$3:$H$22,8,0)</f>
        <v>1</v>
      </c>
      <c r="I12" s="50">
        <f t="shared" si="0"/>
        <v>4</v>
      </c>
      <c r="J12" s="50">
        <f t="shared" si="1"/>
        <v>4</v>
      </c>
      <c r="K12" s="50">
        <f t="shared" si="2"/>
        <v>2</v>
      </c>
      <c r="L12" s="50">
        <f t="shared" si="3"/>
        <v>1</v>
      </c>
      <c r="M12" s="50">
        <f t="shared" si="4"/>
        <v>1</v>
      </c>
      <c r="N12" s="50">
        <f t="shared" si="6"/>
        <v>3</v>
      </c>
      <c r="O12" s="120">
        <f t="shared" si="5"/>
        <v>4</v>
      </c>
      <c r="P12" s="32">
        <f t="shared" si="7"/>
        <v>4</v>
      </c>
    </row>
    <row r="13" spans="1:16" x14ac:dyDescent="0.3">
      <c r="A13" s="15" t="s">
        <v>59</v>
      </c>
      <c r="B13" s="16" t="s">
        <v>60</v>
      </c>
      <c r="C13" s="26" t="s">
        <v>49</v>
      </c>
      <c r="D13" s="43">
        <f>VLOOKUP($A13,'Step 5'!$A$3:$H$22,4,0)</f>
        <v>2</v>
      </c>
      <c r="E13" s="43">
        <f>VLOOKUP($A13,'Step 5'!$A$3:$H$22,5,0)</f>
        <v>1</v>
      </c>
      <c r="F13" s="43">
        <f>VLOOKUP($A13,'Step 5'!$A$3:$H$22,6,0)</f>
        <v>4</v>
      </c>
      <c r="G13" s="43">
        <f>VLOOKUP($A13,'Step 5'!$A$3:$H$22,7,0)</f>
        <v>1</v>
      </c>
      <c r="H13" s="43">
        <f>VLOOKUP($A13,'Step 5'!$A$3:$H$22,8,0)</f>
        <v>3</v>
      </c>
      <c r="I13" s="50">
        <f t="shared" si="0"/>
        <v>4</v>
      </c>
      <c r="J13" s="50">
        <f t="shared" si="1"/>
        <v>3</v>
      </c>
      <c r="K13" s="50">
        <f t="shared" si="2"/>
        <v>2</v>
      </c>
      <c r="L13" s="50">
        <f t="shared" si="3"/>
        <v>1</v>
      </c>
      <c r="M13" s="50">
        <f t="shared" si="4"/>
        <v>1</v>
      </c>
      <c r="N13" s="50">
        <f t="shared" si="6"/>
        <v>3</v>
      </c>
      <c r="O13" s="120">
        <f t="shared" si="5"/>
        <v>2</v>
      </c>
      <c r="P13" s="32">
        <f t="shared" si="7"/>
        <v>3</v>
      </c>
    </row>
    <row r="14" spans="1:16" x14ac:dyDescent="0.3">
      <c r="A14" s="15" t="s">
        <v>61</v>
      </c>
      <c r="B14" s="16" t="s">
        <v>60</v>
      </c>
      <c r="C14" s="26" t="s">
        <v>49</v>
      </c>
      <c r="D14" s="43">
        <f>VLOOKUP($A14,'Step 5'!$A$3:$H$22,4,0)</f>
        <v>4</v>
      </c>
      <c r="E14" s="43">
        <f>VLOOKUP($A14,'Step 5'!$A$3:$H$22,5,0)</f>
        <v>5</v>
      </c>
      <c r="F14" s="43">
        <f>VLOOKUP($A14,'Step 5'!$A$3:$H$22,6,0)</f>
        <v>5</v>
      </c>
      <c r="G14" s="43">
        <f>VLOOKUP($A14,'Step 5'!$A$3:$H$22,7,0)</f>
        <v>3</v>
      </c>
      <c r="H14" s="43">
        <f>VLOOKUP($A14,'Step 5'!$A$3:$H$22,8,0)</f>
        <v>3</v>
      </c>
      <c r="I14" s="50">
        <f t="shared" si="0"/>
        <v>5</v>
      </c>
      <c r="J14" s="50">
        <f t="shared" si="1"/>
        <v>5</v>
      </c>
      <c r="K14" s="50">
        <f t="shared" si="2"/>
        <v>4</v>
      </c>
      <c r="L14" s="50">
        <f t="shared" si="3"/>
        <v>3</v>
      </c>
      <c r="M14" s="50">
        <f t="shared" si="4"/>
        <v>3</v>
      </c>
      <c r="N14" s="50">
        <f t="shared" si="6"/>
        <v>5</v>
      </c>
      <c r="O14" s="120">
        <f t="shared" si="5"/>
        <v>5</v>
      </c>
      <c r="P14" s="32">
        <f t="shared" si="7"/>
        <v>5</v>
      </c>
    </row>
    <row r="15" spans="1:16" x14ac:dyDescent="0.3">
      <c r="A15" s="15" t="s">
        <v>62</v>
      </c>
      <c r="B15" s="16" t="s">
        <v>60</v>
      </c>
      <c r="C15" s="26" t="s">
        <v>49</v>
      </c>
      <c r="D15" s="43">
        <f>VLOOKUP($A15,'Step 5'!$A$3:$H$22,4,0)</f>
        <v>4</v>
      </c>
      <c r="E15" s="43">
        <f>VLOOKUP($A15,'Step 5'!$A$3:$H$22,5,0)</f>
        <v>1</v>
      </c>
      <c r="F15" s="43">
        <f>VLOOKUP($A15,'Step 5'!$A$3:$H$22,6,0)</f>
        <v>2</v>
      </c>
      <c r="G15" s="43">
        <f>VLOOKUP($A15,'Step 5'!$A$3:$H$22,7,0)</f>
        <v>1</v>
      </c>
      <c r="H15" s="43">
        <f>VLOOKUP($A15,'Step 5'!$A$3:$H$22,8,0)</f>
        <v>3</v>
      </c>
      <c r="I15" s="50">
        <f t="shared" si="0"/>
        <v>4</v>
      </c>
      <c r="J15" s="50">
        <f t="shared" si="1"/>
        <v>3</v>
      </c>
      <c r="K15" s="50">
        <f t="shared" si="2"/>
        <v>2</v>
      </c>
      <c r="L15" s="50">
        <f t="shared" si="3"/>
        <v>1</v>
      </c>
      <c r="M15" s="50">
        <f t="shared" si="4"/>
        <v>1</v>
      </c>
      <c r="N15" s="50">
        <f t="shared" si="6"/>
        <v>3</v>
      </c>
      <c r="O15" s="120">
        <f t="shared" si="5"/>
        <v>4</v>
      </c>
      <c r="P15" s="32">
        <f t="shared" si="7"/>
        <v>4</v>
      </c>
    </row>
    <row r="16" spans="1:16" x14ac:dyDescent="0.3">
      <c r="A16" s="15" t="s">
        <v>63</v>
      </c>
      <c r="B16" s="16" t="s">
        <v>60</v>
      </c>
      <c r="C16" s="26" t="s">
        <v>49</v>
      </c>
      <c r="D16" s="43">
        <f>VLOOKUP($A16,'Step 5'!$A$3:$H$22,4,0)</f>
        <v>2</v>
      </c>
      <c r="E16" s="43">
        <f>VLOOKUP($A16,'Step 5'!$A$3:$H$22,5,0)</f>
        <v>1</v>
      </c>
      <c r="F16" s="43">
        <f>VLOOKUP($A16,'Step 5'!$A$3:$H$22,6,0)</f>
        <v>3</v>
      </c>
      <c r="G16" s="43">
        <f>VLOOKUP($A16,'Step 5'!$A$3:$H$22,7,0)</f>
        <v>1</v>
      </c>
      <c r="H16" s="43">
        <f>VLOOKUP($A16,'Step 5'!$A$3:$H$22,8,0)</f>
        <v>3</v>
      </c>
      <c r="I16" s="50">
        <f t="shared" si="0"/>
        <v>3</v>
      </c>
      <c r="J16" s="50">
        <f t="shared" si="1"/>
        <v>3</v>
      </c>
      <c r="K16" s="50">
        <f t="shared" si="2"/>
        <v>2</v>
      </c>
      <c r="L16" s="50">
        <f t="shared" si="3"/>
        <v>1</v>
      </c>
      <c r="M16" s="50">
        <f t="shared" si="4"/>
        <v>1</v>
      </c>
      <c r="N16" s="50">
        <f t="shared" si="6"/>
        <v>3</v>
      </c>
      <c r="O16" s="120">
        <f t="shared" si="5"/>
        <v>2</v>
      </c>
      <c r="P16" s="32">
        <f t="shared" si="7"/>
        <v>3</v>
      </c>
    </row>
    <row r="17" spans="1:16" x14ac:dyDescent="0.3">
      <c r="A17" s="15" t="s">
        <v>64</v>
      </c>
      <c r="B17" s="16" t="s">
        <v>60</v>
      </c>
      <c r="C17" s="26" t="s">
        <v>49</v>
      </c>
      <c r="D17" s="43">
        <f>VLOOKUP($A17,'Step 5'!$A$3:$H$22,4,0)</f>
        <v>1</v>
      </c>
      <c r="E17" s="43">
        <f>VLOOKUP($A17,'Step 5'!$A$3:$H$22,5,0)</f>
        <v>1</v>
      </c>
      <c r="F17" s="43">
        <f>VLOOKUP($A17,'Step 5'!$A$3:$H$22,6,0)</f>
        <v>1</v>
      </c>
      <c r="G17" s="43">
        <f>VLOOKUP($A17,'Step 5'!$A$3:$H$22,7,0)</f>
        <v>1</v>
      </c>
      <c r="H17" s="43">
        <f>VLOOKUP($A17,'Step 5'!$A$3:$H$22,8,0)</f>
        <v>3</v>
      </c>
      <c r="I17" s="50">
        <f t="shared" si="0"/>
        <v>3</v>
      </c>
      <c r="J17" s="50">
        <f t="shared" si="1"/>
        <v>1</v>
      </c>
      <c r="K17" s="50">
        <f t="shared" si="2"/>
        <v>1</v>
      </c>
      <c r="L17" s="50">
        <f t="shared" si="3"/>
        <v>1</v>
      </c>
      <c r="M17" s="50">
        <f t="shared" si="4"/>
        <v>1</v>
      </c>
      <c r="N17" s="50">
        <f t="shared" si="6"/>
        <v>2</v>
      </c>
      <c r="O17" s="50">
        <f t="shared" si="5"/>
        <v>1</v>
      </c>
      <c r="P17" s="32">
        <f t="shared" si="7"/>
        <v>2</v>
      </c>
    </row>
    <row r="18" spans="1:16" x14ac:dyDescent="0.3">
      <c r="A18" s="15" t="s">
        <v>65</v>
      </c>
      <c r="B18" s="16" t="s">
        <v>60</v>
      </c>
      <c r="C18" s="26" t="s">
        <v>70</v>
      </c>
      <c r="D18" s="43">
        <f>VLOOKUP($A18,'Step 5'!$A$3:$H$22,4,0)</f>
        <v>2</v>
      </c>
      <c r="E18" s="43">
        <f>VLOOKUP($A18,'Step 5'!$A$3:$H$22,5,0)</f>
        <v>1</v>
      </c>
      <c r="F18" s="43">
        <f>VLOOKUP($A18,'Step 5'!$A$3:$H$22,6,0)</f>
        <v>1</v>
      </c>
      <c r="G18" s="43">
        <f>VLOOKUP($A18,'Step 5'!$A$3:$H$22,7,0)</f>
        <v>1</v>
      </c>
      <c r="H18" s="43">
        <f>VLOOKUP($A18,'Step 5'!$A$3:$H$22,8,0)</f>
        <v>3</v>
      </c>
      <c r="I18" s="50">
        <f t="shared" si="0"/>
        <v>3</v>
      </c>
      <c r="J18" s="50">
        <f t="shared" si="1"/>
        <v>2</v>
      </c>
      <c r="K18" s="50">
        <f t="shared" si="2"/>
        <v>1</v>
      </c>
      <c r="L18" s="50">
        <f t="shared" si="3"/>
        <v>1</v>
      </c>
      <c r="M18" s="50">
        <f t="shared" si="4"/>
        <v>1</v>
      </c>
      <c r="N18" s="50">
        <f t="shared" si="6"/>
        <v>2</v>
      </c>
      <c r="O18" s="50">
        <f t="shared" si="5"/>
        <v>2</v>
      </c>
      <c r="P18" s="32">
        <f t="shared" si="7"/>
        <v>2</v>
      </c>
    </row>
    <row r="19" spans="1:16" x14ac:dyDescent="0.3">
      <c r="A19" s="15" t="s">
        <v>66</v>
      </c>
      <c r="B19" s="16" t="s">
        <v>60</v>
      </c>
      <c r="C19" s="26" t="s">
        <v>70</v>
      </c>
      <c r="D19" s="43">
        <f>VLOOKUP($A19,'Step 5'!$A$3:$H$22,4,0)</f>
        <v>5</v>
      </c>
      <c r="E19" s="43">
        <f>VLOOKUP($A19,'Step 5'!$A$3:$H$22,5,0)</f>
        <v>4</v>
      </c>
      <c r="F19" s="43">
        <f>VLOOKUP($A19,'Step 5'!$A$3:$H$22,6,0)</f>
        <v>4</v>
      </c>
      <c r="G19" s="43">
        <f>VLOOKUP($A19,'Step 5'!$A$3:$H$22,7,0)</f>
        <v>1</v>
      </c>
      <c r="H19" s="43">
        <f>VLOOKUP($A19,'Step 5'!$A$3:$H$22,8,0)</f>
        <v>3</v>
      </c>
      <c r="I19" s="50">
        <f t="shared" si="0"/>
        <v>5</v>
      </c>
      <c r="J19" s="50">
        <f t="shared" si="1"/>
        <v>4</v>
      </c>
      <c r="K19" s="50">
        <f t="shared" si="2"/>
        <v>4</v>
      </c>
      <c r="L19" s="50">
        <f t="shared" si="3"/>
        <v>3</v>
      </c>
      <c r="M19" s="50">
        <f t="shared" si="4"/>
        <v>1</v>
      </c>
      <c r="N19" s="50">
        <f t="shared" si="6"/>
        <v>4</v>
      </c>
      <c r="O19" s="50">
        <f t="shared" si="5"/>
        <v>5</v>
      </c>
      <c r="P19" s="32">
        <f t="shared" si="7"/>
        <v>5</v>
      </c>
    </row>
    <row r="20" spans="1:16" x14ac:dyDescent="0.3">
      <c r="A20" s="15" t="s">
        <v>67</v>
      </c>
      <c r="B20" s="16" t="s">
        <v>60</v>
      </c>
      <c r="C20" s="26" t="s">
        <v>70</v>
      </c>
      <c r="D20" s="43">
        <f>VLOOKUP($A20,'Step 5'!$A$3:$H$22,4,0)</f>
        <v>4</v>
      </c>
      <c r="E20" s="43">
        <f>VLOOKUP($A20,'Step 5'!$A$3:$H$22,5,0)</f>
        <v>3</v>
      </c>
      <c r="F20" s="43">
        <f>VLOOKUP($A20,'Step 5'!$A$3:$H$22,6,0)</f>
        <v>3</v>
      </c>
      <c r="G20" s="43">
        <f>VLOOKUP($A20,'Step 5'!$A$3:$H$22,7,0)</f>
        <v>5</v>
      </c>
      <c r="H20" s="43">
        <f>VLOOKUP($A20,'Step 5'!$A$3:$H$22,8,0)</f>
        <v>3</v>
      </c>
      <c r="I20" s="50">
        <f t="shared" si="0"/>
        <v>5</v>
      </c>
      <c r="J20" s="50">
        <f t="shared" si="1"/>
        <v>4</v>
      </c>
      <c r="K20" s="50">
        <f t="shared" si="2"/>
        <v>3</v>
      </c>
      <c r="L20" s="50">
        <f t="shared" si="3"/>
        <v>3</v>
      </c>
      <c r="M20" s="50">
        <f t="shared" si="4"/>
        <v>3</v>
      </c>
      <c r="N20" s="50">
        <f t="shared" si="6"/>
        <v>4</v>
      </c>
      <c r="O20" s="50">
        <f t="shared" si="5"/>
        <v>4</v>
      </c>
      <c r="P20" s="32">
        <f t="shared" si="7"/>
        <v>4</v>
      </c>
    </row>
    <row r="21" spans="1:16" x14ac:dyDescent="0.3">
      <c r="A21" s="15" t="s">
        <v>68</v>
      </c>
      <c r="B21" s="16" t="s">
        <v>60</v>
      </c>
      <c r="C21" s="26" t="s">
        <v>70</v>
      </c>
      <c r="D21" s="43">
        <f>VLOOKUP($A21,'Step 5'!$A$3:$H$22,4,0)</f>
        <v>2</v>
      </c>
      <c r="E21" s="43">
        <f>VLOOKUP($A21,'Step 5'!$A$3:$H$22,5,0)</f>
        <v>1</v>
      </c>
      <c r="F21" s="43">
        <f>VLOOKUP($A21,'Step 5'!$A$3:$H$22,6,0)</f>
        <v>4</v>
      </c>
      <c r="G21" s="43">
        <f>VLOOKUP($A21,'Step 5'!$A$3:$H$22,7,0)</f>
        <v>1</v>
      </c>
      <c r="H21" s="43">
        <f>VLOOKUP($A21,'Step 5'!$A$3:$H$22,8,0)</f>
        <v>3</v>
      </c>
      <c r="I21" s="50">
        <f t="shared" si="0"/>
        <v>4</v>
      </c>
      <c r="J21" s="50">
        <f t="shared" si="1"/>
        <v>3</v>
      </c>
      <c r="K21" s="50">
        <f t="shared" si="2"/>
        <v>2</v>
      </c>
      <c r="L21" s="50">
        <f t="shared" si="3"/>
        <v>1</v>
      </c>
      <c r="M21" s="50">
        <f t="shared" si="4"/>
        <v>1</v>
      </c>
      <c r="N21" s="50">
        <f t="shared" si="6"/>
        <v>3</v>
      </c>
      <c r="O21" s="50">
        <f t="shared" si="5"/>
        <v>2</v>
      </c>
      <c r="P21" s="32">
        <f t="shared" si="7"/>
        <v>3</v>
      </c>
    </row>
    <row r="22" spans="1:16" ht="13.5" thickBot="1" x14ac:dyDescent="0.35">
      <c r="A22" s="17" t="s">
        <v>69</v>
      </c>
      <c r="B22" s="18" t="s">
        <v>60</v>
      </c>
      <c r="C22" s="27" t="s">
        <v>70</v>
      </c>
      <c r="D22" s="44">
        <f>VLOOKUP($A22,'Step 5'!$A$3:$H$22,4,0)</f>
        <v>5</v>
      </c>
      <c r="E22" s="44">
        <f>VLOOKUP($A22,'Step 5'!$A$3:$H$22,5,0)</f>
        <v>1</v>
      </c>
      <c r="F22" s="44">
        <f>VLOOKUP($A22,'Step 5'!$A$3:$H$22,6,0)</f>
        <v>3</v>
      </c>
      <c r="G22" s="44">
        <f>VLOOKUP($A22,'Step 5'!$A$3:$H$22,7,0)</f>
        <v>1</v>
      </c>
      <c r="H22" s="44">
        <f>VLOOKUP($A22,'Step 5'!$A$3:$H$22,8,0)</f>
        <v>3</v>
      </c>
      <c r="I22" s="145">
        <f t="shared" si="0"/>
        <v>5</v>
      </c>
      <c r="J22" s="145">
        <f t="shared" si="1"/>
        <v>3</v>
      </c>
      <c r="K22" s="145">
        <f t="shared" si="2"/>
        <v>3</v>
      </c>
      <c r="L22" s="145">
        <f t="shared" si="3"/>
        <v>1</v>
      </c>
      <c r="M22" s="145">
        <f t="shared" si="4"/>
        <v>1</v>
      </c>
      <c r="N22" s="145">
        <f t="shared" si="6"/>
        <v>4</v>
      </c>
      <c r="O22" s="145">
        <f t="shared" si="5"/>
        <v>5</v>
      </c>
      <c r="P22" s="36">
        <f t="shared" si="7"/>
        <v>5</v>
      </c>
    </row>
    <row r="25" spans="1:16" x14ac:dyDescent="0.3">
      <c r="N25" s="1" t="s">
        <v>114</v>
      </c>
    </row>
  </sheetData>
  <mergeCells count="1">
    <mergeCell ref="I1:M1"/>
  </mergeCells>
  <conditionalFormatting sqref="D3:H22">
    <cfRule type="cellIs" dxfId="6" priority="1" operator="equal">
      <formula>5</formula>
    </cfRule>
    <cfRule type="cellIs" dxfId="5" priority="2" operator="equal">
      <formula>4</formula>
    </cfRule>
    <cfRule type="cellIs" dxfId="4" priority="3" operator="equal">
      <formula>3</formula>
    </cfRule>
    <cfRule type="cellIs" dxfId="3" priority="4" operator="equal">
      <formula>2</formula>
    </cfRule>
    <cfRule type="cellIs" dxfId="2" priority="5" operator="equal">
      <formula>1</formula>
    </cfRule>
  </conditionalFormatting>
  <pageMargins left="0.7" right="0.7" top="0.75" bottom="0.75" header="0.3" footer="0.3"/>
  <pageSetup paperSize="9" orientation="portrait" verticalDpi="0" r:id="rId1"/>
  <ignoredErrors>
    <ignoredError sqref="O4:O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U41"/>
  <sheetViews>
    <sheetView tabSelected="1" topLeftCell="A4" zoomScaleNormal="100" workbookViewId="0">
      <selection activeCell="B3" sqref="B3:C7"/>
    </sheetView>
  </sheetViews>
  <sheetFormatPr defaultRowHeight="13" x14ac:dyDescent="0.3"/>
  <cols>
    <col min="1" max="3" width="8.7265625" style="1"/>
    <col min="4" max="4" width="11.7265625" style="1" bestFit="1" customWidth="1"/>
    <col min="5" max="6" width="8.7265625" style="1"/>
    <col min="7" max="7" width="20.6328125" style="1" bestFit="1" customWidth="1"/>
    <col min="8" max="8" width="15.26953125" style="1" bestFit="1" customWidth="1"/>
    <col min="9" max="12" width="4.26953125" style="1" bestFit="1" customWidth="1"/>
    <col min="13" max="13" width="10.7265625" style="1" bestFit="1" customWidth="1"/>
    <col min="14" max="14" width="15.6328125" style="1" bestFit="1" customWidth="1"/>
    <col min="15" max="17" width="4.36328125" style="1" bestFit="1" customWidth="1"/>
    <col min="18" max="18" width="10.7265625" style="1" bestFit="1" customWidth="1"/>
    <col min="19" max="16384" width="8.7265625" style="1"/>
  </cols>
  <sheetData>
    <row r="1" spans="1:18" ht="31" customHeight="1" thickBot="1" x14ac:dyDescent="0.35">
      <c r="A1" s="57" t="s">
        <v>137</v>
      </c>
      <c r="D1" s="56"/>
    </row>
    <row r="2" spans="1:18" ht="39" customHeight="1" x14ac:dyDescent="0.3">
      <c r="A2" s="46" t="s">
        <v>44</v>
      </c>
      <c r="B2" s="47" t="s">
        <v>14</v>
      </c>
      <c r="C2" s="48" t="s">
        <v>45</v>
      </c>
      <c r="D2" s="58" t="s">
        <v>112</v>
      </c>
      <c r="G2" s="167" t="s">
        <v>138</v>
      </c>
      <c r="H2" s="167"/>
      <c r="I2" s="167"/>
      <c r="J2" s="167"/>
      <c r="K2" s="167"/>
      <c r="L2" s="167"/>
      <c r="M2" s="167"/>
    </row>
    <row r="3" spans="1:18" ht="14.5" x14ac:dyDescent="0.35">
      <c r="A3" s="13" t="s">
        <v>47</v>
      </c>
      <c r="B3" s="14" t="s">
        <v>48</v>
      </c>
      <c r="C3" s="25" t="s">
        <v>49</v>
      </c>
      <c r="D3" s="43">
        <f>VLOOKUP($A3,'Step 6'!$A$3:$P$22,16,0)</f>
        <v>1</v>
      </c>
      <c r="G3" s="52" t="s">
        <v>135</v>
      </c>
      <c r="H3" s="52" t="s">
        <v>120</v>
      </c>
      <c r="I3"/>
      <c r="J3"/>
      <c r="K3"/>
      <c r="L3"/>
      <c r="M3"/>
      <c r="N3"/>
      <c r="O3"/>
      <c r="P3"/>
      <c r="Q3"/>
      <c r="R3"/>
    </row>
    <row r="4" spans="1:18" ht="14.5" x14ac:dyDescent="0.35">
      <c r="A4" s="13" t="s">
        <v>50</v>
      </c>
      <c r="B4" s="14" t="s">
        <v>48</v>
      </c>
      <c r="C4" s="25" t="s">
        <v>49</v>
      </c>
      <c r="D4" s="43">
        <f>VLOOKUP($A4,'Step 6'!$A$3:$P$22,16,0)</f>
        <v>3</v>
      </c>
      <c r="G4" s="52" t="s">
        <v>118</v>
      </c>
      <c r="H4">
        <v>1</v>
      </c>
      <c r="I4">
        <v>2</v>
      </c>
      <c r="J4">
        <v>3</v>
      </c>
      <c r="K4">
        <v>4</v>
      </c>
      <c r="L4">
        <v>5</v>
      </c>
      <c r="M4" t="s">
        <v>119</v>
      </c>
      <c r="N4"/>
      <c r="O4"/>
      <c r="P4"/>
      <c r="Q4"/>
      <c r="R4"/>
    </row>
    <row r="5" spans="1:18" ht="14.5" x14ac:dyDescent="0.35">
      <c r="A5" s="13" t="s">
        <v>51</v>
      </c>
      <c r="B5" s="14" t="s">
        <v>48</v>
      </c>
      <c r="C5" s="25" t="s">
        <v>49</v>
      </c>
      <c r="D5" s="43">
        <f>VLOOKUP($A5,'Step 6'!$A$3:$P$22,16,0)</f>
        <v>5</v>
      </c>
      <c r="G5" s="53" t="s">
        <v>48</v>
      </c>
      <c r="H5" s="55">
        <v>0.1</v>
      </c>
      <c r="I5" s="55">
        <v>0.2</v>
      </c>
      <c r="J5" s="55">
        <v>0.3</v>
      </c>
      <c r="K5" s="55">
        <v>0.3</v>
      </c>
      <c r="L5" s="55">
        <v>0.1</v>
      </c>
      <c r="M5" s="55">
        <v>1</v>
      </c>
      <c r="N5"/>
      <c r="O5"/>
      <c r="P5"/>
      <c r="Q5"/>
      <c r="R5"/>
    </row>
    <row r="6" spans="1:18" ht="14.5" x14ac:dyDescent="0.35">
      <c r="A6" s="13" t="s">
        <v>52</v>
      </c>
      <c r="B6" s="14" t="s">
        <v>48</v>
      </c>
      <c r="C6" s="25" t="s">
        <v>49</v>
      </c>
      <c r="D6" s="43">
        <f>VLOOKUP($A6,'Step 6'!$A$3:$P$22,16,0)</f>
        <v>4</v>
      </c>
      <c r="G6" s="54" t="s">
        <v>70</v>
      </c>
      <c r="H6" s="55">
        <v>0</v>
      </c>
      <c r="I6" s="55">
        <v>0.4</v>
      </c>
      <c r="J6" s="55">
        <v>0.4</v>
      </c>
      <c r="K6" s="55">
        <v>0.2</v>
      </c>
      <c r="L6" s="55">
        <v>0</v>
      </c>
      <c r="M6" s="55">
        <v>1</v>
      </c>
      <c r="N6"/>
      <c r="O6"/>
      <c r="P6"/>
      <c r="Q6"/>
      <c r="R6"/>
    </row>
    <row r="7" spans="1:18" ht="14.5" x14ac:dyDescent="0.35">
      <c r="A7" s="13" t="s">
        <v>53</v>
      </c>
      <c r="B7" s="14" t="s">
        <v>48</v>
      </c>
      <c r="C7" s="25" t="s">
        <v>49</v>
      </c>
      <c r="D7" s="43">
        <f>VLOOKUP($A7,'Step 6'!$A$3:$P$22,16,0)</f>
        <v>4</v>
      </c>
      <c r="G7" s="54" t="s">
        <v>49</v>
      </c>
      <c r="H7" s="55">
        <v>0.2</v>
      </c>
      <c r="I7" s="55">
        <v>0</v>
      </c>
      <c r="J7" s="55">
        <v>0.2</v>
      </c>
      <c r="K7" s="55">
        <v>0.4</v>
      </c>
      <c r="L7" s="55">
        <v>0.2</v>
      </c>
      <c r="M7" s="55">
        <v>1</v>
      </c>
      <c r="N7"/>
      <c r="O7"/>
      <c r="P7"/>
      <c r="Q7"/>
      <c r="R7"/>
    </row>
    <row r="8" spans="1:18" ht="14.5" x14ac:dyDescent="0.35">
      <c r="A8" s="13" t="s">
        <v>54</v>
      </c>
      <c r="B8" s="14" t="s">
        <v>48</v>
      </c>
      <c r="C8" s="25" t="s">
        <v>70</v>
      </c>
      <c r="D8" s="43">
        <f>VLOOKUP($A8,'Step 6'!$A$3:$P$22,16,0)</f>
        <v>2</v>
      </c>
      <c r="G8" s="53" t="s">
        <v>60</v>
      </c>
      <c r="H8" s="55">
        <v>0</v>
      </c>
      <c r="I8" s="55">
        <v>0.2</v>
      </c>
      <c r="J8" s="55">
        <v>0.3</v>
      </c>
      <c r="K8" s="55">
        <v>0.2</v>
      </c>
      <c r="L8" s="55">
        <v>0.3</v>
      </c>
      <c r="M8" s="55">
        <v>1</v>
      </c>
      <c r="N8"/>
      <c r="O8"/>
      <c r="P8"/>
      <c r="Q8"/>
      <c r="R8"/>
    </row>
    <row r="9" spans="1:18" ht="14.5" x14ac:dyDescent="0.35">
      <c r="A9" s="13" t="s">
        <v>55</v>
      </c>
      <c r="B9" s="14" t="s">
        <v>48</v>
      </c>
      <c r="C9" s="25" t="s">
        <v>70</v>
      </c>
      <c r="D9" s="43">
        <f>VLOOKUP($A9,'Step 6'!$A$3:$P$22,16,0)</f>
        <v>3</v>
      </c>
      <c r="G9" s="54" t="s">
        <v>70</v>
      </c>
      <c r="H9" s="55">
        <v>0</v>
      </c>
      <c r="I9" s="55">
        <v>0.2</v>
      </c>
      <c r="J9" s="55">
        <v>0.2</v>
      </c>
      <c r="K9" s="55">
        <v>0.2</v>
      </c>
      <c r="L9" s="55">
        <v>0.4</v>
      </c>
      <c r="M9" s="55">
        <v>1</v>
      </c>
    </row>
    <row r="10" spans="1:18" ht="13" customHeight="1" x14ac:dyDescent="0.35">
      <c r="A10" s="13" t="s">
        <v>56</v>
      </c>
      <c r="B10" s="14" t="s">
        <v>48</v>
      </c>
      <c r="C10" s="25" t="s">
        <v>70</v>
      </c>
      <c r="D10" s="43">
        <f>VLOOKUP($A10,'Step 6'!$A$3:$P$22,16,0)</f>
        <v>3</v>
      </c>
      <c r="G10" s="54" t="s">
        <v>49</v>
      </c>
      <c r="H10" s="55">
        <v>0</v>
      </c>
      <c r="I10" s="55">
        <v>0.2</v>
      </c>
      <c r="J10" s="55">
        <v>0.4</v>
      </c>
      <c r="K10" s="55">
        <v>0.2</v>
      </c>
      <c r="L10" s="55">
        <v>0.2</v>
      </c>
      <c r="M10" s="55">
        <v>1</v>
      </c>
    </row>
    <row r="11" spans="1:18" ht="14.5" x14ac:dyDescent="0.35">
      <c r="A11" s="13" t="s">
        <v>57</v>
      </c>
      <c r="B11" s="14" t="s">
        <v>48</v>
      </c>
      <c r="C11" s="25" t="s">
        <v>70</v>
      </c>
      <c r="D11" s="43">
        <f>VLOOKUP($A11,'Step 6'!$A$3:$P$22,16,0)</f>
        <v>2</v>
      </c>
      <c r="G11" s="53" t="s">
        <v>119</v>
      </c>
      <c r="H11" s="55">
        <v>0.05</v>
      </c>
      <c r="I11" s="55">
        <v>0.2</v>
      </c>
      <c r="J11" s="55">
        <v>0.3</v>
      </c>
      <c r="K11" s="55">
        <v>0.25</v>
      </c>
      <c r="L11" s="55">
        <v>0.2</v>
      </c>
      <c r="M11" s="55">
        <v>1</v>
      </c>
    </row>
    <row r="12" spans="1:18" ht="14.5" x14ac:dyDescent="0.35">
      <c r="A12" s="13" t="s">
        <v>58</v>
      </c>
      <c r="B12" s="14" t="s">
        <v>48</v>
      </c>
      <c r="C12" s="25" t="s">
        <v>70</v>
      </c>
      <c r="D12" s="43">
        <f>VLOOKUP($A12,'Step 6'!$A$3:$P$22,16,0)</f>
        <v>4</v>
      </c>
      <c r="G12"/>
      <c r="N12" s="113"/>
      <c r="O12" s="113"/>
      <c r="P12" s="113"/>
      <c r="Q12" s="113"/>
      <c r="R12" s="113"/>
    </row>
    <row r="13" spans="1:18" ht="14.5" x14ac:dyDescent="0.35">
      <c r="A13" s="15" t="s">
        <v>59</v>
      </c>
      <c r="B13" s="16" t="s">
        <v>60</v>
      </c>
      <c r="C13" s="26" t="s">
        <v>49</v>
      </c>
      <c r="D13" s="43">
        <f>VLOOKUP($A13,'Step 6'!$A$3:$P$22,16,0)</f>
        <v>3</v>
      </c>
      <c r="G13"/>
    </row>
    <row r="14" spans="1:18" ht="14.5" x14ac:dyDescent="0.35">
      <c r="A14" s="15" t="s">
        <v>61</v>
      </c>
      <c r="B14" s="16" t="s">
        <v>60</v>
      </c>
      <c r="C14" s="26" t="s">
        <v>49</v>
      </c>
      <c r="D14" s="43">
        <f>VLOOKUP($A14,'Step 6'!$A$3:$P$22,16,0)</f>
        <v>5</v>
      </c>
      <c r="G14"/>
      <c r="H14"/>
      <c r="I14"/>
      <c r="J14"/>
      <c r="K14"/>
      <c r="L14"/>
      <c r="M14"/>
    </row>
    <row r="15" spans="1:18" ht="14.5" x14ac:dyDescent="0.35">
      <c r="A15" s="15" t="s">
        <v>62</v>
      </c>
      <c r="B15" s="16" t="s">
        <v>60</v>
      </c>
      <c r="C15" s="26" t="s">
        <v>49</v>
      </c>
      <c r="D15" s="43">
        <f>VLOOKUP($A15,'Step 6'!$A$3:$P$22,16,0)</f>
        <v>4</v>
      </c>
      <c r="G15"/>
      <c r="H15"/>
      <c r="I15"/>
      <c r="J15"/>
      <c r="K15"/>
      <c r="L15"/>
      <c r="M15"/>
    </row>
    <row r="16" spans="1:18" ht="14.5" x14ac:dyDescent="0.35">
      <c r="A16" s="15" t="s">
        <v>63</v>
      </c>
      <c r="B16" s="16" t="s">
        <v>60</v>
      </c>
      <c r="C16" s="26" t="s">
        <v>49</v>
      </c>
      <c r="D16" s="43">
        <f>VLOOKUP($A16,'Step 6'!$A$3:$P$22,16,0)</f>
        <v>3</v>
      </c>
      <c r="G16"/>
      <c r="H16"/>
      <c r="I16"/>
      <c r="J16"/>
      <c r="K16"/>
      <c r="L16"/>
      <c r="M16"/>
    </row>
    <row r="17" spans="1:21" ht="14.5" x14ac:dyDescent="0.35">
      <c r="A17" s="15" t="s">
        <v>64</v>
      </c>
      <c r="B17" s="16" t="s">
        <v>60</v>
      </c>
      <c r="C17" s="26" t="s">
        <v>49</v>
      </c>
      <c r="D17" s="43">
        <f>VLOOKUP($A17,'Step 6'!$A$3:$P$22,16,0)</f>
        <v>2</v>
      </c>
      <c r="G17"/>
      <c r="H17"/>
      <c r="I17"/>
      <c r="J17"/>
      <c r="K17"/>
      <c r="L17"/>
      <c r="M17"/>
    </row>
    <row r="18" spans="1:21" ht="14.5" x14ac:dyDescent="0.35">
      <c r="A18" s="15" t="s">
        <v>65</v>
      </c>
      <c r="B18" s="16" t="s">
        <v>60</v>
      </c>
      <c r="C18" s="26" t="s">
        <v>70</v>
      </c>
      <c r="D18" s="43">
        <f>VLOOKUP($A18,'Step 6'!$A$3:$P$22,16,0)</f>
        <v>2</v>
      </c>
      <c r="G18"/>
      <c r="H18"/>
      <c r="I18"/>
      <c r="J18"/>
      <c r="K18"/>
      <c r="L18"/>
      <c r="M18"/>
    </row>
    <row r="19" spans="1:21" ht="14.5" x14ac:dyDescent="0.35">
      <c r="A19" s="15" t="s">
        <v>66</v>
      </c>
      <c r="B19" s="16" t="s">
        <v>60</v>
      </c>
      <c r="C19" s="26" t="s">
        <v>70</v>
      </c>
      <c r="D19" s="43">
        <f>VLOOKUP($A19,'Step 6'!$A$3:$P$22,16,0)</f>
        <v>5</v>
      </c>
      <c r="G19"/>
      <c r="H19"/>
      <c r="I19"/>
      <c r="J19"/>
      <c r="K19"/>
      <c r="L19"/>
      <c r="M19"/>
    </row>
    <row r="20" spans="1:21" ht="14.5" x14ac:dyDescent="0.35">
      <c r="A20" s="15" t="s">
        <v>67</v>
      </c>
      <c r="B20" s="16" t="s">
        <v>60</v>
      </c>
      <c r="C20" s="26" t="s">
        <v>70</v>
      </c>
      <c r="D20" s="43">
        <f>VLOOKUP($A20,'Step 6'!$A$3:$P$22,16,0)</f>
        <v>4</v>
      </c>
      <c r="G20"/>
      <c r="H20"/>
      <c r="I20"/>
    </row>
    <row r="21" spans="1:21" x14ac:dyDescent="0.3">
      <c r="A21" s="15" t="s">
        <v>68</v>
      </c>
      <c r="B21" s="16" t="s">
        <v>60</v>
      </c>
      <c r="C21" s="26" t="s">
        <v>70</v>
      </c>
      <c r="D21" s="43">
        <f>VLOOKUP($A21,'Step 6'!$A$3:$P$22,16,0)</f>
        <v>3</v>
      </c>
    </row>
    <row r="22" spans="1:21" ht="15" thickBot="1" x14ac:dyDescent="0.4">
      <c r="A22" s="17" t="s">
        <v>69</v>
      </c>
      <c r="B22" s="18" t="s">
        <v>60</v>
      </c>
      <c r="C22" s="27" t="s">
        <v>70</v>
      </c>
      <c r="D22" s="43">
        <f>VLOOKUP($A22,'Step 6'!$A$3:$P$22,16,0)</f>
        <v>5</v>
      </c>
      <c r="G22"/>
      <c r="H22"/>
      <c r="I22"/>
      <c r="J22"/>
      <c r="K22"/>
      <c r="L22"/>
      <c r="M22"/>
    </row>
    <row r="23" spans="1:21" ht="14.5" x14ac:dyDescent="0.35">
      <c r="G23"/>
      <c r="H23"/>
      <c r="I23"/>
      <c r="J23"/>
      <c r="K23"/>
      <c r="L23"/>
      <c r="M23"/>
      <c r="N23" s="113"/>
      <c r="O23" s="113"/>
      <c r="P23" s="113"/>
      <c r="Q23" s="113"/>
      <c r="R23" s="113"/>
      <c r="S23" s="113"/>
      <c r="T23" s="113"/>
      <c r="U23" s="113"/>
    </row>
    <row r="24" spans="1:21" ht="14.5" x14ac:dyDescent="0.35">
      <c r="G24"/>
      <c r="H24"/>
      <c r="I24"/>
      <c r="J24"/>
      <c r="K24"/>
      <c r="L24"/>
      <c r="M24"/>
      <c r="P24" s="49"/>
      <c r="Q24" s="49"/>
      <c r="R24" s="49"/>
      <c r="S24" s="49"/>
      <c r="T24" s="49"/>
      <c r="U24" s="49"/>
    </row>
    <row r="25" spans="1:21" ht="14.5" x14ac:dyDescent="0.35">
      <c r="G25"/>
      <c r="H25"/>
      <c r="I25"/>
      <c r="J25"/>
      <c r="K25"/>
      <c r="L25"/>
      <c r="M25"/>
      <c r="P25" s="49"/>
    </row>
    <row r="26" spans="1:21" ht="14.5" x14ac:dyDescent="0.35">
      <c r="G26"/>
      <c r="H26"/>
      <c r="I26"/>
      <c r="J26"/>
      <c r="K26"/>
      <c r="L26"/>
      <c r="M26"/>
      <c r="P26" s="49"/>
    </row>
    <row r="27" spans="1:21" ht="14.5" x14ac:dyDescent="0.35">
      <c r="G27"/>
      <c r="H27"/>
      <c r="I27"/>
      <c r="J27"/>
      <c r="K27"/>
      <c r="L27"/>
      <c r="M27"/>
      <c r="P27" s="49"/>
    </row>
    <row r="28" spans="1:21" ht="14.5" x14ac:dyDescent="0.35">
      <c r="G28"/>
      <c r="H28"/>
      <c r="I28"/>
      <c r="J28"/>
      <c r="K28"/>
      <c r="L28"/>
      <c r="M28"/>
    </row>
    <row r="29" spans="1:21" ht="14.5" x14ac:dyDescent="0.35">
      <c r="G29"/>
      <c r="H29"/>
      <c r="I29"/>
      <c r="J29"/>
      <c r="K29"/>
      <c r="L29"/>
      <c r="M29"/>
    </row>
    <row r="30" spans="1:21" ht="14.5" x14ac:dyDescent="0.35">
      <c r="G30"/>
      <c r="H30"/>
      <c r="I30"/>
      <c r="J30"/>
      <c r="K30"/>
      <c r="L30"/>
      <c r="M30"/>
      <c r="P30" s="49"/>
      <c r="Q30" s="49"/>
      <c r="R30" s="49"/>
      <c r="S30" s="49"/>
      <c r="T30" s="49"/>
      <c r="U30" s="49"/>
    </row>
    <row r="31" spans="1:21" ht="14.5" x14ac:dyDescent="0.35">
      <c r="G31"/>
      <c r="H31"/>
      <c r="I31"/>
      <c r="P31" s="49"/>
      <c r="Q31" s="114"/>
      <c r="R31" s="114"/>
      <c r="S31" s="114"/>
      <c r="T31" s="114"/>
      <c r="U31" s="114"/>
    </row>
    <row r="32" spans="1:21" ht="14.5" x14ac:dyDescent="0.35">
      <c r="G32"/>
      <c r="H32"/>
      <c r="I32"/>
      <c r="P32" s="49"/>
    </row>
    <row r="33" spans="7:16" ht="14.5" x14ac:dyDescent="0.35">
      <c r="G33"/>
      <c r="H33"/>
      <c r="I33"/>
      <c r="P33" s="49"/>
    </row>
    <row r="34" spans="7:16" ht="14.5" x14ac:dyDescent="0.35">
      <c r="G34"/>
      <c r="H34"/>
      <c r="I34"/>
    </row>
    <row r="35" spans="7:16" ht="14.5" x14ac:dyDescent="0.35">
      <c r="G35"/>
      <c r="H35"/>
      <c r="I35"/>
    </row>
    <row r="36" spans="7:16" ht="14.5" x14ac:dyDescent="0.35">
      <c r="G36"/>
      <c r="H36"/>
      <c r="I36"/>
    </row>
    <row r="37" spans="7:16" ht="14.5" x14ac:dyDescent="0.35">
      <c r="G37"/>
      <c r="H37"/>
      <c r="I37"/>
    </row>
    <row r="38" spans="7:16" ht="14.5" x14ac:dyDescent="0.35">
      <c r="G38"/>
      <c r="H38"/>
      <c r="I38"/>
    </row>
    <row r="39" spans="7:16" ht="14.5" x14ac:dyDescent="0.35">
      <c r="G39"/>
      <c r="H39"/>
      <c r="I39"/>
    </row>
    <row r="40" spans="7:16" ht="14.5" x14ac:dyDescent="0.35">
      <c r="G40"/>
      <c r="H40"/>
      <c r="I40"/>
    </row>
    <row r="41" spans="7:16" ht="14.5" x14ac:dyDescent="0.35">
      <c r="G41"/>
      <c r="H41"/>
      <c r="I41"/>
    </row>
  </sheetData>
  <mergeCells count="1">
    <mergeCell ref="G2:M2"/>
  </mergeCell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E49D-0A88-46C2-A5BB-1E2EE9356CD9}">
  <dimension ref="A1:I11"/>
  <sheetViews>
    <sheetView workbookViewId="0">
      <selection activeCell="F4" sqref="F4"/>
    </sheetView>
  </sheetViews>
  <sheetFormatPr defaultRowHeight="14.5" x14ac:dyDescent="0.35"/>
  <cols>
    <col min="1" max="1" width="20.7265625" customWidth="1"/>
    <col min="2" max="2" width="7.1796875" customWidth="1"/>
    <col min="8" max="8" width="13.54296875" customWidth="1"/>
  </cols>
  <sheetData>
    <row r="1" spans="1:9" ht="22" customHeight="1" x14ac:dyDescent="0.35">
      <c r="A1" s="57" t="s">
        <v>121</v>
      </c>
    </row>
    <row r="2" spans="1:9" ht="15" thickBot="1" x14ac:dyDescent="0.4"/>
    <row r="3" spans="1:9" ht="15" thickBot="1" x14ac:dyDescent="0.4">
      <c r="A3" s="59" t="s">
        <v>14</v>
      </c>
      <c r="B3" s="60">
        <v>1</v>
      </c>
      <c r="C3" s="60">
        <v>2</v>
      </c>
      <c r="D3" s="60">
        <v>3</v>
      </c>
      <c r="E3" s="60">
        <v>4</v>
      </c>
      <c r="F3" s="61">
        <v>5</v>
      </c>
      <c r="G3" s="62"/>
      <c r="H3" s="72" t="s">
        <v>130</v>
      </c>
      <c r="I3" s="2"/>
    </row>
    <row r="4" spans="1:9" x14ac:dyDescent="0.35">
      <c r="A4" s="63" t="s">
        <v>48</v>
      </c>
      <c r="B4" s="64">
        <f>VLOOKUP($A4,'Step 7'!$G$5:$L$10,2,0)</f>
        <v>0.1</v>
      </c>
      <c r="C4" s="64">
        <f>VLOOKUP($A4,'Step 7'!$G$5:$L$10,3,0)</f>
        <v>0.2</v>
      </c>
      <c r="D4" s="64">
        <f>VLOOKUP($A4,'Step 7'!$G$5:$L$10,4,0)</f>
        <v>0.3</v>
      </c>
      <c r="E4" s="64">
        <f>VLOOKUP($A4,'Step 7'!$G$5:$L$10,5,0)</f>
        <v>0.3</v>
      </c>
      <c r="F4" s="65">
        <f>VLOOKUP($A4,'Step 7'!$G$5:$L$10,6,0)</f>
        <v>0.1</v>
      </c>
      <c r="G4" s="85"/>
      <c r="H4" s="86">
        <f>IF(F4&gt;25%,5,IF(SUM(E4:F4)&gt;25%,4,IF(SUM(D4:F4)&gt;25%,3,IF(SUM(C4:F4)&gt;25%,2,IF(SUM(B4:F4)&gt;25%,1,"")))))</f>
        <v>4</v>
      </c>
      <c r="I4" s="85"/>
    </row>
    <row r="5" spans="1:9" ht="15" thickBot="1" x14ac:dyDescent="0.4">
      <c r="A5" s="66" t="s">
        <v>60</v>
      </c>
      <c r="B5" s="67">
        <f>VLOOKUP($A5,'Step 7'!$G$5:$L$10,2,0)</f>
        <v>0</v>
      </c>
      <c r="C5" s="67">
        <f>VLOOKUP($A5,'Step 7'!$G$5:$L$10,3,0)</f>
        <v>0.2</v>
      </c>
      <c r="D5" s="67">
        <f>VLOOKUP($A5,'Step 7'!$G$5:$L$10,4,0)</f>
        <v>0.3</v>
      </c>
      <c r="E5" s="67">
        <f>VLOOKUP($A5,'Step 7'!$G$5:$L$10,5,0)</f>
        <v>0.2</v>
      </c>
      <c r="F5" s="68">
        <f>VLOOKUP($A5,'Step 7'!$G$5:$L$10,6,0)</f>
        <v>0.3</v>
      </c>
      <c r="G5" s="2"/>
      <c r="H5" s="71">
        <f>IF(F5&gt;25%,5,IF(SUM(E5:F5)&gt;25%,4,IF(SUM(D5:F5)&gt;25%,3,IF(SUM(C5:F5)&gt;25%,2,IF(SUM(B5:F5)&gt;25%,1,"")))))</f>
        <v>5</v>
      </c>
      <c r="I5" s="2"/>
    </row>
    <row r="6" spans="1:9" x14ac:dyDescent="0.35">
      <c r="A6" s="69"/>
      <c r="B6" s="69"/>
      <c r="C6" s="69"/>
      <c r="D6" s="69"/>
      <c r="E6" s="69"/>
      <c r="F6" s="2"/>
      <c r="G6" s="2"/>
      <c r="H6" s="70"/>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C8ED-9D37-4123-A9E9-CA700F677B73}">
  <dimension ref="A1:P12"/>
  <sheetViews>
    <sheetView zoomScaleNormal="100" workbookViewId="0"/>
  </sheetViews>
  <sheetFormatPr defaultRowHeight="14.5" x14ac:dyDescent="0.35"/>
  <cols>
    <col min="1" max="1" width="19.1796875" bestFit="1" customWidth="1"/>
    <col min="2" max="2" width="23.6328125" customWidth="1"/>
    <col min="3" max="3" width="4.26953125" bestFit="1" customWidth="1"/>
    <col min="4" max="4" width="7.36328125" bestFit="1" customWidth="1"/>
    <col min="5" max="5" width="4.26953125" bestFit="1" customWidth="1"/>
    <col min="6" max="6" width="10.7265625" bestFit="1" customWidth="1"/>
    <col min="8" max="8" width="2.90625" customWidth="1"/>
    <col min="9" max="9" width="19.1796875" bestFit="1" customWidth="1"/>
    <col min="10" max="10" width="13.08984375" customWidth="1"/>
    <col min="11" max="12" width="9.1796875" bestFit="1" customWidth="1"/>
    <col min="13" max="13" width="10.81640625" bestFit="1" customWidth="1"/>
    <col min="14" max="14" width="4.26953125" bestFit="1" customWidth="1"/>
    <col min="15" max="15" width="16.54296875" customWidth="1"/>
    <col min="16" max="16" width="12.90625" bestFit="1" customWidth="1"/>
  </cols>
  <sheetData>
    <row r="1" spans="1:16" x14ac:dyDescent="0.35">
      <c r="A1" s="57" t="s">
        <v>143</v>
      </c>
    </row>
    <row r="4" spans="1:16" ht="27" customHeight="1" x14ac:dyDescent="0.35">
      <c r="A4" s="168" t="s">
        <v>140</v>
      </c>
      <c r="B4" s="168"/>
      <c r="C4" s="168"/>
      <c r="D4" s="168"/>
      <c r="E4" s="168"/>
      <c r="F4" s="168"/>
      <c r="G4" s="168"/>
      <c r="H4" s="168"/>
      <c r="I4" s="168"/>
      <c r="J4" s="168"/>
      <c r="K4" s="168"/>
      <c r="L4" s="168"/>
      <c r="M4" s="168"/>
    </row>
    <row r="5" spans="1:16" ht="44" thickBot="1" x14ac:dyDescent="0.4">
      <c r="B5" s="75" t="s">
        <v>136</v>
      </c>
      <c r="C5" s="169" t="s">
        <v>123</v>
      </c>
      <c r="D5" s="170"/>
      <c r="E5" s="170"/>
      <c r="F5" s="170"/>
      <c r="G5" s="171"/>
      <c r="H5" s="93"/>
      <c r="I5" s="169" t="s">
        <v>125</v>
      </c>
      <c r="J5" s="170"/>
      <c r="K5" s="170"/>
      <c r="L5" s="170"/>
      <c r="M5" s="171"/>
    </row>
    <row r="6" spans="1:16" ht="49" customHeight="1" thickBot="1" x14ac:dyDescent="0.4">
      <c r="A6" s="76" t="s">
        <v>48</v>
      </c>
      <c r="B6" s="76" t="s">
        <v>124</v>
      </c>
      <c r="C6" s="77">
        <v>1</v>
      </c>
      <c r="D6" s="77">
        <v>2</v>
      </c>
      <c r="E6" s="77">
        <v>3</v>
      </c>
      <c r="F6" s="77">
        <v>4</v>
      </c>
      <c r="G6" s="78">
        <v>5</v>
      </c>
      <c r="I6" s="77">
        <v>1</v>
      </c>
      <c r="J6" s="77">
        <v>2</v>
      </c>
      <c r="K6" s="77">
        <v>3</v>
      </c>
      <c r="L6" s="77">
        <v>4</v>
      </c>
      <c r="M6" s="78">
        <v>5</v>
      </c>
      <c r="O6" s="94" t="s">
        <v>126</v>
      </c>
      <c r="P6" s="115" t="s">
        <v>139</v>
      </c>
    </row>
    <row r="7" spans="1:16" x14ac:dyDescent="0.35">
      <c r="A7" s="88" t="s">
        <v>70</v>
      </c>
      <c r="B7" s="87">
        <v>1000000</v>
      </c>
      <c r="C7" s="64">
        <f>VLOOKUP('Step 9'!$A7,'Step 7'!$G$6:$L$7,2,0)</f>
        <v>0</v>
      </c>
      <c r="D7" s="64">
        <f>VLOOKUP('Step 9'!$A7,'Step 7'!$G$6:$L$7,3,0)</f>
        <v>0.4</v>
      </c>
      <c r="E7" s="64">
        <f>VLOOKUP('Step 9'!$A7,'Step 7'!$G$6:$L$7,4,0)</f>
        <v>0.4</v>
      </c>
      <c r="F7" s="64">
        <f>VLOOKUP('Step 9'!$A7,'Step 7'!$G$6:$L$7,5,0)</f>
        <v>0.2</v>
      </c>
      <c r="G7" s="64">
        <f>VLOOKUP('Step 9'!$A7,'Step 7'!$G$6:$L$7,6,0)</f>
        <v>0</v>
      </c>
      <c r="H7" s="55"/>
      <c r="I7" s="73">
        <f>$B7*C7</f>
        <v>0</v>
      </c>
      <c r="J7" s="81">
        <f t="shared" ref="J7:J8" si="0">$B7*D7</f>
        <v>400000</v>
      </c>
      <c r="K7" s="81">
        <f>$B7*E7</f>
        <v>400000</v>
      </c>
      <c r="L7" s="81">
        <f>$B7*F7</f>
        <v>200000</v>
      </c>
      <c r="M7" s="82">
        <f>$B7*G7</f>
        <v>0</v>
      </c>
      <c r="O7" s="79">
        <f>SUM(K7:M7)</f>
        <v>600000</v>
      </c>
      <c r="P7" s="118">
        <f>SUM(O7:O8)</f>
        <v>1000000</v>
      </c>
    </row>
    <row r="8" spans="1:16" ht="15" thickBot="1" x14ac:dyDescent="0.4">
      <c r="A8" s="88" t="s">
        <v>49</v>
      </c>
      <c r="B8" s="87">
        <v>500000</v>
      </c>
      <c r="C8" s="64">
        <f>VLOOKUP('Step 9'!$A8,'Step 7'!$G$6:$L$7,2,0)</f>
        <v>0.2</v>
      </c>
      <c r="D8" s="64">
        <f>VLOOKUP('Step 9'!$A8,'Step 7'!$G$6:$L$7,3,0)</f>
        <v>0</v>
      </c>
      <c r="E8" s="64">
        <f>VLOOKUP('Step 9'!$A8,'Step 7'!$G$6:$L$7,4,0)</f>
        <v>0.2</v>
      </c>
      <c r="F8" s="64">
        <f>VLOOKUP('Step 9'!$A8,'Step 7'!$G$6:$L$7,5,0)</f>
        <v>0.4</v>
      </c>
      <c r="G8" s="64">
        <f>VLOOKUP('Step 9'!$A8,'Step 7'!$G$6:$L$7,6,0)</f>
        <v>0.2</v>
      </c>
      <c r="H8" s="55"/>
      <c r="I8" s="74">
        <f>$B8*C8</f>
        <v>100000</v>
      </c>
      <c r="J8" s="83">
        <f t="shared" si="0"/>
        <v>0</v>
      </c>
      <c r="K8" s="83">
        <f t="shared" ref="K8" si="1">$B8*E8</f>
        <v>100000</v>
      </c>
      <c r="L8" s="83">
        <f t="shared" ref="L8" si="2">$B8*F8</f>
        <v>200000</v>
      </c>
      <c r="M8" s="84">
        <f t="shared" ref="M8" si="3">$B8*G8</f>
        <v>100000</v>
      </c>
      <c r="O8" s="80">
        <f>SUM(K8:M8)</f>
        <v>400000</v>
      </c>
      <c r="P8" s="119"/>
    </row>
    <row r="9" spans="1:16" ht="10.5" customHeight="1" x14ac:dyDescent="0.35">
      <c r="A9" s="89"/>
      <c r="B9" s="90"/>
      <c r="C9" s="91"/>
      <c r="D9" s="91"/>
      <c r="E9" s="91"/>
      <c r="F9" s="91"/>
      <c r="G9" s="91"/>
      <c r="H9" s="92"/>
      <c r="I9" s="92"/>
      <c r="J9" s="92"/>
      <c r="K9" s="92"/>
      <c r="L9" s="92"/>
      <c r="M9" s="92"/>
      <c r="N9" s="92"/>
      <c r="O9" s="38"/>
      <c r="P9" s="38"/>
    </row>
    <row r="10" spans="1:16" ht="15" thickBot="1" x14ac:dyDescent="0.4">
      <c r="A10" s="76" t="s">
        <v>60</v>
      </c>
      <c r="B10" s="76" t="s">
        <v>124</v>
      </c>
      <c r="C10" s="77">
        <v>1</v>
      </c>
      <c r="D10" s="77">
        <v>2</v>
      </c>
      <c r="E10" s="77">
        <v>3</v>
      </c>
      <c r="F10" s="77">
        <v>4</v>
      </c>
      <c r="G10" s="78">
        <v>5</v>
      </c>
      <c r="I10" s="77">
        <v>1</v>
      </c>
      <c r="J10" s="77">
        <v>2</v>
      </c>
      <c r="K10" s="77">
        <v>3</v>
      </c>
      <c r="L10" s="77">
        <v>4</v>
      </c>
      <c r="M10" s="78">
        <v>5</v>
      </c>
      <c r="O10" s="38"/>
      <c r="P10" s="38"/>
    </row>
    <row r="11" spans="1:16" x14ac:dyDescent="0.35">
      <c r="A11" s="88" t="s">
        <v>70</v>
      </c>
      <c r="B11" s="87">
        <v>700000</v>
      </c>
      <c r="C11" s="64">
        <f>VLOOKUP($A11,'Step 7'!$G$9:$L$10,2,0)</f>
        <v>0</v>
      </c>
      <c r="D11" s="64">
        <f>VLOOKUP($A11,'Step 7'!$G$9:$L$10,3,0)</f>
        <v>0.2</v>
      </c>
      <c r="E11" s="64">
        <f>VLOOKUP($A11,'Step 7'!$G$9:$L$10,4,0)</f>
        <v>0.2</v>
      </c>
      <c r="F11" s="64">
        <f>VLOOKUP($A11,'Step 7'!$G$9:$L$10,5,0)</f>
        <v>0.2</v>
      </c>
      <c r="G11" s="64">
        <f>VLOOKUP($A11,'Step 7'!$G$9:$L$10,6,0)</f>
        <v>0.4</v>
      </c>
      <c r="H11" s="55"/>
      <c r="I11" s="73">
        <f>$B11*C11</f>
        <v>0</v>
      </c>
      <c r="J11" s="81">
        <f t="shared" ref="J11:J12" si="4">$B11*D11</f>
        <v>140000</v>
      </c>
      <c r="K11" s="81">
        <f>$B11*E11</f>
        <v>140000</v>
      </c>
      <c r="L11" s="81">
        <f t="shared" ref="L11:L12" si="5">$B11*F11</f>
        <v>140000</v>
      </c>
      <c r="M11" s="82">
        <f>$B11*G11</f>
        <v>280000</v>
      </c>
      <c r="O11" s="146">
        <f>SUM(K11:M11)</f>
        <v>560000</v>
      </c>
      <c r="P11" s="118">
        <f>SUM(O11:O12)</f>
        <v>600000</v>
      </c>
    </row>
    <row r="12" spans="1:16" ht="15" thickBot="1" x14ac:dyDescent="0.4">
      <c r="A12" s="88" t="s">
        <v>49</v>
      </c>
      <c r="B12" s="87">
        <v>50000</v>
      </c>
      <c r="C12" s="64">
        <f>VLOOKUP($A12,'Step 7'!$G$9:$L$10,2,0)</f>
        <v>0</v>
      </c>
      <c r="D12" s="64">
        <f>VLOOKUP($A12,'Step 7'!$G$9:$L$10,3,0)</f>
        <v>0.2</v>
      </c>
      <c r="E12" s="64">
        <f>VLOOKUP($A12,'Step 7'!$G$9:$L$10,4,0)</f>
        <v>0.4</v>
      </c>
      <c r="F12" s="64">
        <f>VLOOKUP($A12,'Step 7'!$G$9:$L$10,5,0)</f>
        <v>0.2</v>
      </c>
      <c r="G12" s="64">
        <f>VLOOKUP($A12,'Step 7'!$G$9:$L$10,6,0)</f>
        <v>0.2</v>
      </c>
      <c r="H12" s="55"/>
      <c r="I12" s="74">
        <f>$B12*C12</f>
        <v>0</v>
      </c>
      <c r="J12" s="83">
        <f t="shared" si="4"/>
        <v>10000</v>
      </c>
      <c r="K12" s="83">
        <f t="shared" ref="K12" si="6">$B12*E12</f>
        <v>20000</v>
      </c>
      <c r="L12" s="83">
        <f t="shared" si="5"/>
        <v>10000</v>
      </c>
      <c r="M12" s="84">
        <f t="shared" ref="M12" si="7">$B12*G12</f>
        <v>10000</v>
      </c>
      <c r="O12" s="80">
        <f>SUM(K12:M12)</f>
        <v>40000</v>
      </c>
      <c r="P12" s="119"/>
    </row>
  </sheetData>
  <mergeCells count="3">
    <mergeCell ref="A4:M4"/>
    <mergeCell ref="C5:G5"/>
    <mergeCell ref="I5:M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 ME</vt:lpstr>
      <vt:lpstr>Step 1-2</vt:lpstr>
      <vt:lpstr>Step 3 </vt:lpstr>
      <vt:lpstr>Step 4</vt:lpstr>
      <vt:lpstr>Step 5</vt:lpstr>
      <vt:lpstr>Step 6</vt:lpstr>
      <vt:lpstr>Step 7</vt:lpstr>
      <vt:lpstr>Step 8</vt:lpstr>
      <vt:lpstr>Step 9</vt:lpstr>
      <vt:lpstr>Final PIN_Severity</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2022-06-06T12:37:01Z</dcterms:modified>
</cp:coreProperties>
</file>