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rydberg\OneDrive - UNICEF\WASH\HPC calendar\Targeting\"/>
    </mc:Choice>
  </mc:AlternateContent>
  <xr:revisionPtr revIDLastSave="3" documentId="8_{70595378-4E91-4A76-8D88-17AEC8D24E30}" xr6:coauthVersionLast="44" xr6:coauthVersionMax="44" xr10:uidLastSave="{22BFA8CB-C9BE-44CD-84FD-B1FB70F9D3C9}"/>
  <bookViews>
    <workbookView xWindow="28680" yWindow="-120" windowWidth="29040" windowHeight="15840" activeTab="2" xr2:uid="{FD264D7E-73FB-4CAB-AAAC-253B7EAAD824}"/>
  </bookViews>
  <sheets>
    <sheet name="Read me" sheetId="3" r:id="rId1"/>
    <sheet name="Data Poor" sheetId="1" r:id="rId2"/>
    <sheet name="Data Rich" sheetId="2" r:id="rId3"/>
  </sheets>
  <definedNames>
    <definedName name="Benchmark_combinaison_Poor">'Data Poor'!$A$51</definedName>
    <definedName name="Benchmark_combinaison_Rich">'Data Rich'!$A$53</definedName>
    <definedName name="Combinaison_of_prioritization_Rich">'Data Rich'!$A$40</definedName>
    <definedName name="Combinaison_Poor">'Data Poor'!$A$39</definedName>
    <definedName name="Per_area_severity_Rich">'Data Rich'!$A$14</definedName>
    <definedName name="Per_geographical_area___Rich">'Data Rich'!$A$1</definedName>
    <definedName name="Per_geographical_area_Data_Poor">'Data Poor'!$A$1</definedName>
    <definedName name="Per_severity_score__Poor">'Data Poor'!$A$13</definedName>
    <definedName name="Per_vulnerable_groups__Poor">'Data Poor'!$A$26</definedName>
    <definedName name="Per_vulnerable_groups__Rich">'Data Rich'!$A$27</definedName>
    <definedName name="Prioritization_options">'Read me'!$A$25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1" i="2" l="1"/>
  <c r="U7" i="1"/>
  <c r="U6" i="1"/>
  <c r="V63" i="2" l="1"/>
  <c r="V62" i="2"/>
  <c r="V61" i="2"/>
  <c r="V60" i="2"/>
  <c r="V59" i="2"/>
  <c r="AC59" i="2" s="1"/>
  <c r="L63" i="2"/>
  <c r="K63" i="2"/>
  <c r="J63" i="2"/>
  <c r="I63" i="2"/>
  <c r="H63" i="2"/>
  <c r="G63" i="2"/>
  <c r="F63" i="2"/>
  <c r="E63" i="2"/>
  <c r="D63" i="2"/>
  <c r="C63" i="2"/>
  <c r="L62" i="2"/>
  <c r="K62" i="2"/>
  <c r="J62" i="2"/>
  <c r="I62" i="2"/>
  <c r="H62" i="2"/>
  <c r="G62" i="2"/>
  <c r="F62" i="2"/>
  <c r="E62" i="2"/>
  <c r="D62" i="2"/>
  <c r="C62" i="2"/>
  <c r="L61" i="2"/>
  <c r="K61" i="2"/>
  <c r="J61" i="2"/>
  <c r="I61" i="2"/>
  <c r="H61" i="2"/>
  <c r="G61" i="2"/>
  <c r="F61" i="2"/>
  <c r="E61" i="2"/>
  <c r="D61" i="2"/>
  <c r="C61" i="2"/>
  <c r="AC60" i="2"/>
  <c r="L60" i="2"/>
  <c r="K60" i="2"/>
  <c r="J60" i="2"/>
  <c r="I60" i="2"/>
  <c r="H60" i="2"/>
  <c r="G60" i="2"/>
  <c r="F60" i="2"/>
  <c r="E60" i="2"/>
  <c r="D60" i="2"/>
  <c r="C60" i="2"/>
  <c r="L59" i="2"/>
  <c r="K59" i="2"/>
  <c r="J59" i="2"/>
  <c r="I59" i="2"/>
  <c r="H59" i="2"/>
  <c r="G59" i="2"/>
  <c r="F59" i="2"/>
  <c r="E59" i="2"/>
  <c r="D59" i="2"/>
  <c r="C59" i="2"/>
  <c r="V61" i="1"/>
  <c r="AC61" i="1" s="1"/>
  <c r="V60" i="1"/>
  <c r="V59" i="1"/>
  <c r="AC59" i="1" s="1"/>
  <c r="V58" i="1"/>
  <c r="V57" i="1"/>
  <c r="AC57" i="1" s="1"/>
  <c r="U61" i="1"/>
  <c r="O61" i="1"/>
  <c r="J61" i="1"/>
  <c r="AC60" i="1"/>
  <c r="U60" i="1"/>
  <c r="O60" i="1"/>
  <c r="J60" i="1"/>
  <c r="O59" i="1"/>
  <c r="U59" i="1" s="1"/>
  <c r="J59" i="1"/>
  <c r="AC58" i="1"/>
  <c r="O58" i="1"/>
  <c r="U58" i="1" s="1"/>
  <c r="J58" i="1"/>
  <c r="O57" i="1"/>
  <c r="U57" i="1" s="1"/>
  <c r="J57" i="1"/>
  <c r="V47" i="2"/>
  <c r="V46" i="2"/>
  <c r="V20" i="2"/>
  <c r="L50" i="2"/>
  <c r="K50" i="2"/>
  <c r="J50" i="2"/>
  <c r="I50" i="2"/>
  <c r="H50" i="2"/>
  <c r="G50" i="2"/>
  <c r="V50" i="2" s="1"/>
  <c r="F50" i="2"/>
  <c r="E50" i="2"/>
  <c r="D50" i="2"/>
  <c r="C50" i="2"/>
  <c r="L49" i="2"/>
  <c r="K49" i="2"/>
  <c r="J49" i="2"/>
  <c r="I49" i="2"/>
  <c r="H49" i="2"/>
  <c r="G49" i="2"/>
  <c r="F49" i="2"/>
  <c r="E49" i="2"/>
  <c r="V49" i="2" s="1"/>
  <c r="D49" i="2"/>
  <c r="C49" i="2"/>
  <c r="L48" i="2"/>
  <c r="K48" i="2"/>
  <c r="J48" i="2"/>
  <c r="I48" i="2"/>
  <c r="H48" i="2"/>
  <c r="G48" i="2"/>
  <c r="F48" i="2"/>
  <c r="E48" i="2"/>
  <c r="V48" i="2" s="1"/>
  <c r="D48" i="2"/>
  <c r="C48" i="2"/>
  <c r="L47" i="2"/>
  <c r="K47" i="2"/>
  <c r="J47" i="2"/>
  <c r="I47" i="2"/>
  <c r="H47" i="2"/>
  <c r="G47" i="2"/>
  <c r="F47" i="2"/>
  <c r="E47" i="2"/>
  <c r="D47" i="2"/>
  <c r="C47" i="2"/>
  <c r="L46" i="2"/>
  <c r="K46" i="2"/>
  <c r="J46" i="2"/>
  <c r="I46" i="2"/>
  <c r="H46" i="2"/>
  <c r="G46" i="2"/>
  <c r="F46" i="2"/>
  <c r="E46" i="2"/>
  <c r="D46" i="2"/>
  <c r="C46" i="2"/>
  <c r="V49" i="1"/>
  <c r="AC49" i="1" s="1"/>
  <c r="V48" i="1"/>
  <c r="V47" i="1"/>
  <c r="AC47" i="1" s="1"/>
  <c r="V46" i="1"/>
  <c r="AC46" i="1" s="1"/>
  <c r="V45" i="1"/>
  <c r="U49" i="1"/>
  <c r="O49" i="1"/>
  <c r="J49" i="1"/>
  <c r="AC48" i="1"/>
  <c r="O48" i="1"/>
  <c r="U48" i="1" s="1"/>
  <c r="J48" i="1"/>
  <c r="O47" i="1"/>
  <c r="U47" i="1" s="1"/>
  <c r="J47" i="1"/>
  <c r="O46" i="1"/>
  <c r="U46" i="1" s="1"/>
  <c r="J46" i="1"/>
  <c r="AC45" i="1"/>
  <c r="U45" i="1"/>
  <c r="O45" i="1"/>
  <c r="J45" i="1"/>
  <c r="L37" i="2"/>
  <c r="K37" i="2"/>
  <c r="J37" i="2"/>
  <c r="I37" i="2"/>
  <c r="H37" i="2"/>
  <c r="G37" i="2"/>
  <c r="F37" i="2"/>
  <c r="E37" i="2"/>
  <c r="V37" i="2" s="1"/>
  <c r="D37" i="2"/>
  <c r="C37" i="2"/>
  <c r="L36" i="2"/>
  <c r="K36" i="2"/>
  <c r="J36" i="2"/>
  <c r="I36" i="2"/>
  <c r="H36" i="2"/>
  <c r="G36" i="2"/>
  <c r="F36" i="2"/>
  <c r="E36" i="2"/>
  <c r="V36" i="2" s="1"/>
  <c r="D36" i="2"/>
  <c r="C36" i="2"/>
  <c r="L35" i="2"/>
  <c r="K35" i="2"/>
  <c r="J35" i="2"/>
  <c r="I35" i="2"/>
  <c r="H35" i="2"/>
  <c r="G35" i="2"/>
  <c r="F35" i="2"/>
  <c r="E35" i="2"/>
  <c r="V35" i="2" s="1"/>
  <c r="D35" i="2"/>
  <c r="C35" i="2"/>
  <c r="L34" i="2"/>
  <c r="K34" i="2"/>
  <c r="J34" i="2"/>
  <c r="I34" i="2"/>
  <c r="H34" i="2"/>
  <c r="G34" i="2"/>
  <c r="F34" i="2"/>
  <c r="E34" i="2"/>
  <c r="D34" i="2"/>
  <c r="C34" i="2"/>
  <c r="L33" i="2"/>
  <c r="K33" i="2"/>
  <c r="J33" i="2"/>
  <c r="I33" i="2"/>
  <c r="H33" i="2"/>
  <c r="G33" i="2"/>
  <c r="F33" i="2"/>
  <c r="V33" i="2" s="1"/>
  <c r="E33" i="2"/>
  <c r="D33" i="2"/>
  <c r="C33" i="2"/>
  <c r="V36" i="1"/>
  <c r="V35" i="1"/>
  <c r="V34" i="1"/>
  <c r="V33" i="1"/>
  <c r="AC33" i="1" s="1"/>
  <c r="V32" i="1"/>
  <c r="AC32" i="1" s="1"/>
  <c r="O36" i="1"/>
  <c r="U36" i="1" s="1"/>
  <c r="J36" i="1"/>
  <c r="O35" i="1"/>
  <c r="U35" i="1" s="1"/>
  <c r="J35" i="1"/>
  <c r="O34" i="1"/>
  <c r="U34" i="1" s="1"/>
  <c r="J34" i="1"/>
  <c r="U33" i="1"/>
  <c r="O33" i="1"/>
  <c r="J33" i="1"/>
  <c r="O32" i="1"/>
  <c r="U32" i="1" s="1"/>
  <c r="J32" i="1"/>
  <c r="V21" i="2"/>
  <c r="V19" i="1"/>
  <c r="L24" i="2"/>
  <c r="K24" i="2"/>
  <c r="J24" i="2"/>
  <c r="I24" i="2"/>
  <c r="H24" i="2"/>
  <c r="G24" i="2"/>
  <c r="F24" i="2"/>
  <c r="E24" i="2"/>
  <c r="D24" i="2"/>
  <c r="C24" i="2"/>
  <c r="L23" i="2"/>
  <c r="K23" i="2"/>
  <c r="J23" i="2"/>
  <c r="I23" i="2"/>
  <c r="H23" i="2"/>
  <c r="G23" i="2"/>
  <c r="F23" i="2"/>
  <c r="E23" i="2"/>
  <c r="D23" i="2"/>
  <c r="C23" i="2"/>
  <c r="L22" i="2"/>
  <c r="K22" i="2"/>
  <c r="J22" i="2"/>
  <c r="I22" i="2"/>
  <c r="H22" i="2"/>
  <c r="G22" i="2"/>
  <c r="F22" i="2"/>
  <c r="E22" i="2"/>
  <c r="D22" i="2"/>
  <c r="C22" i="2"/>
  <c r="L21" i="2"/>
  <c r="K21" i="2"/>
  <c r="J21" i="2"/>
  <c r="I21" i="2"/>
  <c r="H21" i="2"/>
  <c r="G21" i="2"/>
  <c r="F21" i="2"/>
  <c r="E21" i="2"/>
  <c r="D21" i="2"/>
  <c r="C21" i="2"/>
  <c r="L20" i="2"/>
  <c r="K20" i="2"/>
  <c r="J20" i="2"/>
  <c r="I20" i="2"/>
  <c r="H20" i="2"/>
  <c r="G20" i="2"/>
  <c r="F20" i="2"/>
  <c r="E20" i="2"/>
  <c r="D20" i="2"/>
  <c r="C20" i="2"/>
  <c r="V23" i="1"/>
  <c r="V22" i="1"/>
  <c r="V21" i="1"/>
  <c r="V20" i="1"/>
  <c r="O23" i="1"/>
  <c r="U23" i="1" s="1"/>
  <c r="J23" i="1"/>
  <c r="U22" i="1"/>
  <c r="AC22" i="1" s="1"/>
  <c r="O22" i="1"/>
  <c r="J22" i="1"/>
  <c r="O21" i="1"/>
  <c r="U21" i="1" s="1"/>
  <c r="AC21" i="1" s="1"/>
  <c r="J21" i="1"/>
  <c r="U20" i="1"/>
  <c r="O20" i="1"/>
  <c r="J20" i="1"/>
  <c r="O19" i="1"/>
  <c r="U19" i="1" s="1"/>
  <c r="J19" i="1"/>
  <c r="J10" i="1"/>
  <c r="J9" i="1"/>
  <c r="J8" i="1"/>
  <c r="J7" i="1"/>
  <c r="J6" i="1"/>
  <c r="AC61" i="2" l="1"/>
  <c r="O60" i="2"/>
  <c r="U60" i="2" s="1"/>
  <c r="AC63" i="2"/>
  <c r="O34" i="2"/>
  <c r="U34" i="2" s="1"/>
  <c r="AC46" i="2"/>
  <c r="AC50" i="2"/>
  <c r="O59" i="2"/>
  <c r="U59" i="2" s="1"/>
  <c r="O61" i="2"/>
  <c r="U61" i="2" s="1"/>
  <c r="O21" i="2"/>
  <c r="AC21" i="2" s="1"/>
  <c r="O62" i="2"/>
  <c r="U62" i="2" s="1"/>
  <c r="V34" i="2"/>
  <c r="AC62" i="2"/>
  <c r="O63" i="2"/>
  <c r="U63" i="2" s="1"/>
  <c r="AC33" i="2"/>
  <c r="O35" i="2"/>
  <c r="U35" i="2" s="1"/>
  <c r="AC47" i="2"/>
  <c r="O36" i="2"/>
  <c r="U36" i="2" s="1"/>
  <c r="AC36" i="2" s="1"/>
  <c r="AC48" i="2"/>
  <c r="O20" i="2"/>
  <c r="U20" i="2" s="1"/>
  <c r="O33" i="2"/>
  <c r="U33" i="2" s="1"/>
  <c r="O37" i="2"/>
  <c r="U37" i="2" s="1"/>
  <c r="AC37" i="2" s="1"/>
  <c r="O49" i="2"/>
  <c r="U49" i="2" s="1"/>
  <c r="AC34" i="2"/>
  <c r="AC49" i="2"/>
  <c r="O48" i="2"/>
  <c r="U48" i="2" s="1"/>
  <c r="O47" i="2"/>
  <c r="U47" i="2" s="1"/>
  <c r="O46" i="2"/>
  <c r="U46" i="2" s="1"/>
  <c r="O50" i="2"/>
  <c r="U50" i="2" s="1"/>
  <c r="AC35" i="2"/>
  <c r="AC35" i="1"/>
  <c r="AC34" i="1"/>
  <c r="AC36" i="1"/>
  <c r="O23" i="2"/>
  <c r="O22" i="2"/>
  <c r="U22" i="2" s="1"/>
  <c r="V22" i="2" s="1"/>
  <c r="O24" i="2"/>
  <c r="AC22" i="2"/>
  <c r="AC20" i="2"/>
  <c r="AC23" i="1"/>
  <c r="AC20" i="1"/>
  <c r="AC19" i="1"/>
  <c r="L8" i="2"/>
  <c r="K11" i="2"/>
  <c r="L11" i="2"/>
  <c r="F11" i="2"/>
  <c r="D11" i="2"/>
  <c r="G11" i="2"/>
  <c r="J11" i="2"/>
  <c r="I11" i="2"/>
  <c r="H11" i="2"/>
  <c r="C10" i="2"/>
  <c r="D10" i="2"/>
  <c r="C11" i="2"/>
  <c r="I10" i="2"/>
  <c r="K10" i="2"/>
  <c r="L10" i="2"/>
  <c r="J10" i="2"/>
  <c r="H10" i="2"/>
  <c r="F10" i="2"/>
  <c r="G10" i="2"/>
  <c r="E11" i="2"/>
  <c r="E10" i="2"/>
  <c r="H9" i="2"/>
  <c r="J9" i="2"/>
  <c r="L9" i="2"/>
  <c r="K9" i="2"/>
  <c r="I9" i="2"/>
  <c r="D9" i="2"/>
  <c r="C9" i="2"/>
  <c r="E9" i="2"/>
  <c r="G9" i="2"/>
  <c r="F9" i="2"/>
  <c r="J8" i="2"/>
  <c r="I8" i="2"/>
  <c r="H8" i="2"/>
  <c r="K8" i="2"/>
  <c r="D8" i="2"/>
  <c r="F8" i="2"/>
  <c r="G8" i="2"/>
  <c r="E8" i="2"/>
  <c r="C8" i="2"/>
  <c r="L7" i="2"/>
  <c r="K7" i="2"/>
  <c r="I7" i="2"/>
  <c r="H7" i="2"/>
  <c r="J7" i="2"/>
  <c r="F7" i="2"/>
  <c r="G7" i="2"/>
  <c r="E7" i="2"/>
  <c r="D7" i="2"/>
  <c r="C7" i="2"/>
  <c r="O10" i="1"/>
  <c r="O9" i="1"/>
  <c r="O8" i="1"/>
  <c r="O7" i="1"/>
  <c r="O6" i="1"/>
  <c r="O11" i="2" l="1"/>
  <c r="U11" i="2" s="1"/>
  <c r="V11" i="2" s="1"/>
  <c r="AC11" i="2" s="1"/>
  <c r="O8" i="2"/>
  <c r="U8" i="2" s="1"/>
  <c r="V8" i="2" s="1"/>
  <c r="AC8" i="2" s="1"/>
  <c r="U23" i="2"/>
  <c r="U24" i="2"/>
  <c r="O7" i="2"/>
  <c r="U7" i="2" s="1"/>
  <c r="V7" i="2" s="1"/>
  <c r="AC7" i="2" s="1"/>
  <c r="U8" i="1"/>
  <c r="V8" i="1" s="1"/>
  <c r="AC8" i="1" s="1"/>
  <c r="U10" i="1"/>
  <c r="V10" i="1" s="1"/>
  <c r="AC10" i="1" s="1"/>
  <c r="V6" i="1"/>
  <c r="AC6" i="1" s="1"/>
  <c r="U9" i="1"/>
  <c r="V9" i="1" s="1"/>
  <c r="AC9" i="1" s="1"/>
  <c r="V7" i="1"/>
  <c r="AC7" i="1" s="1"/>
  <c r="O10" i="2"/>
  <c r="U10" i="2" s="1"/>
  <c r="V10" i="2" s="1"/>
  <c r="AC10" i="2" s="1"/>
  <c r="O9" i="2"/>
  <c r="U9" i="2" s="1"/>
  <c r="V9" i="2" s="1"/>
  <c r="AC9" i="2" s="1"/>
  <c r="V24" i="2" l="1"/>
  <c r="AC24" i="2" s="1"/>
  <c r="V23" i="2"/>
  <c r="AC23" i="2" s="1"/>
</calcChain>
</file>

<file path=xl/sharedStrings.xml><?xml version="1.0" encoding="utf-8"?>
<sst xmlns="http://schemas.openxmlformats.org/spreadsheetml/2006/main" count="485" uniqueCount="111">
  <si>
    <t>IDPs</t>
  </si>
  <si>
    <t>Host</t>
  </si>
  <si>
    <t>Refugees</t>
  </si>
  <si>
    <t>WASH PiN</t>
  </si>
  <si>
    <t>Partner operational capacity</t>
  </si>
  <si>
    <t xml:space="preserve">Assumptions </t>
  </si>
  <si>
    <t>Development actors caseload</t>
  </si>
  <si>
    <t>Total PiN</t>
  </si>
  <si>
    <t>Availability support structure (e.g. market, health system, school)</t>
  </si>
  <si>
    <t>PiN per target group</t>
  </si>
  <si>
    <t>Malnutrition</t>
  </si>
  <si>
    <t>Diarrhea</t>
  </si>
  <si>
    <t>Projected PiN (disaster)</t>
  </si>
  <si>
    <t>Flood</t>
  </si>
  <si>
    <t>Cyclone</t>
  </si>
  <si>
    <t>Water access</t>
  </si>
  <si>
    <t>Handwashing</t>
  </si>
  <si>
    <t>Sanitation access</t>
  </si>
  <si>
    <t>Returnees</t>
  </si>
  <si>
    <t>Legal issues 
(eg. Authorisation to intervene on pipe system, authorisation for refugees to participate in CfW, land issues)</t>
  </si>
  <si>
    <t>impact legal issues on caseload</t>
  </si>
  <si>
    <t>Other vulnerable group</t>
  </si>
  <si>
    <t>PiN per  severity per target group</t>
  </si>
  <si>
    <t>PiN per indicator (target group x indicator severity &gt;3)</t>
  </si>
  <si>
    <t>Humanitarian priority zones</t>
  </si>
  <si>
    <t>Portion of PiN which can be reached</t>
  </si>
  <si>
    <t>Portion of PiN which need to be deducted</t>
  </si>
  <si>
    <t xml:space="preserve">Legal issues </t>
  </si>
  <si>
    <t>Detail 
(eg. Authorisation to intervene on pipe system, authorisation for refugees to participate in CfW, land issues)</t>
  </si>
  <si>
    <t>Geographical areas</t>
  </si>
  <si>
    <t>Hygiene Service 
(e.g social security cash transfer covering hygiene product cost, handwashing campaign, CHW)</t>
  </si>
  <si>
    <t>Water Access
(e.g drilling project)</t>
  </si>
  <si>
    <t>Sanitation Access 
(e.g. subsidized latrine slab project, CLTS program)</t>
  </si>
  <si>
    <t>Physical Access (security, log and seasonal issues)</t>
  </si>
  <si>
    <t>Per severity score (score &gt;3)</t>
  </si>
  <si>
    <t>Per vulnerable groups (pop group = xxx)</t>
  </si>
  <si>
    <t>Area 1</t>
  </si>
  <si>
    <t>Area 2</t>
  </si>
  <si>
    <t>Area 3</t>
  </si>
  <si>
    <t>Area 4</t>
  </si>
  <si>
    <t>Area 5</t>
  </si>
  <si>
    <t>Presentation</t>
  </si>
  <si>
    <t>Excel formula</t>
  </si>
  <si>
    <t>Updated WASH PIN guidance</t>
  </si>
  <si>
    <t>Overall severity score</t>
  </si>
  <si>
    <t>Development actors caseload (new &amp; planned project)</t>
  </si>
  <si>
    <t>Availability support structure (e.g. market, health system, school) versus intervention strategy</t>
  </si>
  <si>
    <t>Partner operational capacity (current + potential)</t>
  </si>
  <si>
    <t>WASH caseload</t>
  </si>
  <si>
    <t>Final Target</t>
  </si>
  <si>
    <t>Reference for PiN Calculation (and explanation on data poor and data rich)</t>
  </si>
  <si>
    <t>powerpoint for HNO / PiN webinar</t>
  </si>
  <si>
    <t>PiN calculation spreadsheet</t>
  </si>
  <si>
    <t>Guidance</t>
  </si>
  <si>
    <t>Considering security acces for partner, road transportation access issues (for material, equipemtn, contractors), what % of the PiN can be reach in the area?</t>
  </si>
  <si>
    <t>Based on number of partners already present in the location, or able to reach the location, their capacity and their potential increased capacity, what % of the PiN can be reached?</t>
  </si>
  <si>
    <t>Considering the WASH response strategy, can all the activities be implemented with the support structure in place (cash transfer system, market for machinaries and services)? if the service are not present in the location will the mobilisation time to bring them in the area reduce significantly the capacity to reach the PiN in the time available? If the strategy focus on health and school structures are these functional? Taking into considering these questions and other aspect related to the response strategy, what % of the PiN can be reached in the area?</t>
  </si>
  <si>
    <t xml:space="preserve">Combine WASH caseload reached </t>
  </si>
  <si>
    <t>Legal issue 
(eg. Authorisation to intervene on pipe system, authorisation for refugees to participate in CfW, land issues)</t>
  </si>
  <si>
    <t>No digging in 20% IDPs site
'-20% x PiN IDP x Sanitation</t>
  </si>
  <si>
    <t>3-6 month delay to get authorisation to rehabilitation / build water network (timing sufficient to reach half PiN)
'-50% x (PiN IDP + PiN Host)</t>
  </si>
  <si>
    <t>describe what legal issue affected the implementation of some activities, which target group is affected, which activities / sub-sector is affected?</t>
  </si>
  <si>
    <t>does the impact of the legal issue affected the overall caseload? For example if the total PiN correspond the Sanitation PiN (with water PiN and Hygiene PiN lower) and the legal issue reduced the capacity to reach refugees with sanitation support, then the total PiN may be reduced as well</t>
  </si>
  <si>
    <t>is there new project planned or ongoing from development actor for water project that will reach part of the PiN of the area? Be careful these number were not already deducted when calculating the PiN</t>
  </si>
  <si>
    <t>same thing for sanitation project</t>
  </si>
  <si>
    <t>idem</t>
  </si>
  <si>
    <t>which proportion of the WASH caseload (column U) will be taken care of with a WASH package by development actors? If the WASH caseload is principally based on the hygiene PiN higher than water and sanitation and the development actors won't reach the WASH caseload with hygiene, then % may be 0. However is the WASH caseload is principally based on the Water PiN and development actors will reach 20% of these PiN then, the % reported is 20%</t>
  </si>
  <si>
    <t>Initial Target (based on prioritization options)</t>
  </si>
  <si>
    <t>Prioritization options</t>
  </si>
  <si>
    <t xml:space="preserve">Per geographical area / priority zones </t>
  </si>
  <si>
    <t>define humanitarian priority zone and only keep PiN in theses area</t>
  </si>
  <si>
    <t>define which vulnerable group is targeted, and only add PiN from these groups across all areas.</t>
  </si>
  <si>
    <t>Combinaison of prioritization option</t>
  </si>
  <si>
    <t>by priority zone and vulnerable group, or by vulnerable group and severity, etc.</t>
  </si>
  <si>
    <t>in the above the whole PiN of each categories is used before applying the various formulas. In some case a benchmark (that is less than 100% of the selected PiN) can be apply with a selected combinaison of prioritization options</t>
  </si>
  <si>
    <t>Not considered in the present document</t>
  </si>
  <si>
    <t>Project based targeting</t>
  </si>
  <si>
    <t>sum target from all partners submitting project within limit PiN of each targeted areas</t>
  </si>
  <si>
    <t>Data Poor</t>
  </si>
  <si>
    <t>Data Rich</t>
  </si>
  <si>
    <t>Click here</t>
  </si>
  <si>
    <t>CTK links</t>
  </si>
  <si>
    <t>WASH prioritization</t>
  </si>
  <si>
    <t>05.HPC_2021-ResponseAnalysisPrioritization_Guide-Final draft.pdf</t>
  </si>
  <si>
    <t>HPC tool</t>
  </si>
  <si>
    <t>Humanitarian caseload - GWC Coordination Tool Kit (CTK) - Confluence</t>
  </si>
  <si>
    <t>Response prioritization - GWC Coordination Tool Kit (CTK) - Confluence</t>
  </si>
  <si>
    <t xml:space="preserve">Combined WASH caseload reached </t>
  </si>
  <si>
    <t>Assumptions explanation</t>
  </si>
  <si>
    <t>Prioritization option formula for Initial Target (column V) = Case load (column U) x priority zone (column P)</t>
  </si>
  <si>
    <t>Initial Target</t>
  </si>
  <si>
    <t>Prioritization option formula:  Initial Target (column V) = WASH Caseload (column U) x priority zone (column P)</t>
  </si>
  <si>
    <t>Prioritization option formula:  Initial Target (column V) = if ( Overall severity score [column B] &gt; 2, WASH caseload [U], 0)</t>
  </si>
  <si>
    <t>Per severity score (score = 3 or &gt; 3)</t>
  </si>
  <si>
    <t>Per area severity score (score = 3 or &gt; 3)</t>
  </si>
  <si>
    <t xml:space="preserve">for Data Poor situation it means selecting area whose overall severity score is above 3. 
for Data Rich situation the Total PiN consider only the HH with severity score equal or above 3... so it may not be necessary to reduce further by applying a priorisation by area severity score </t>
  </si>
  <si>
    <t>Per vulnerable groups (pop group = IDPs + Refugees + Other vulnerable Group)</t>
  </si>
  <si>
    <t>Prioritization option formula:  Initial Target (column V) = (IDPs PiN [column C] + Refugees [column F] + Other vulnerable [column G]) x MIN (assumptions [column R to T])</t>
  </si>
  <si>
    <t>Per vulnerable groups (pop group = IDPs)</t>
  </si>
  <si>
    <t>Prioritization option formula:  Initial Target (column V) = (IDPs PiN severity score &gt;2 [column E to G]) x MIN (assumptions [column R to T])</t>
  </si>
  <si>
    <t>Prioritization option formula:  Initial Target (column V) = IF ( Overall severity score [column B] &gt; 2, WASH caseload [U], 0)</t>
  </si>
  <si>
    <t>Combinaison of prioritization by vulnerable group (IDPs, Refugees and Other vulnerable group) and severity score</t>
  </si>
  <si>
    <t>Prioritization option formula:  Initial Target (column V) = ( Overall severity score [column B] &gt; 2, (IDPs PiN severity score &gt;2 [column E to G]) x MIN (assumptions [column R to T]) , 0)</t>
  </si>
  <si>
    <t>Benchmark combinaison of prioritization options ( 50% IDPs if severity is &lt;3 and 100% IDPs if severity is &gt;2)</t>
  </si>
  <si>
    <t>e.g.  50% of IDPs PiN will be considered for area with severity &lt;3 and 100% of IDPs PiN for severity score &gt; or = to 3</t>
  </si>
  <si>
    <t>Prioritization option formula:  Initial Target (column V) = IF ( Overall severity score [column B] &gt; 2, (IDPs PiN [column C] + Refugees [column F] + Other vulnerable [column G]) x MIN (assumptions [column R to T]) , 0)</t>
  </si>
  <si>
    <t>Prioritization option formula:  Initial Target (column V) =  IF ( Overall severity score [column B] &gt; 2, IDPs PiN [column C]  x MIN (assumptions [column R to T]) , IDPs PiN [column C] x 0.5 x MIN (assumptions [column R to T])</t>
  </si>
  <si>
    <t>Prioritization option formula:  Initial Target (column V) =  IF ( Overall severity score [column B] &gt; 2, (IDPs PiN severity score &gt;2 [column E to G])  x MIN (assumptions [column R to T]) , IDPs PiN [column C] x 0.5 x MIN (assumptions [column R to T])</t>
  </si>
  <si>
    <t>Benchmark combinaison of prioritization options ( 50% IDPs if severity is &lt;3 and 100% IDPs if severity is = or &gt;3)</t>
  </si>
  <si>
    <t>Back to prioritization options list</t>
  </si>
  <si>
    <t>Links to appropriate section in the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</si>
</sst>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_-* #,##0.0_-;\-* #,##0.0_-;_-* &quot;-&quot;?_-;_-@_-"/>
  </numFmts>
  <fonts count="8" x14ac:knownFonts="1">
    <font>
      <sz val="11"/>
      <color theme="1"/>
      <name val="Calibri"/>
      <family val="2"/>
      <scheme val="minor"/>
    </font>
    <font>
      <sz val="8"/>
      <name val="Calibri"/>
      <family val="2"/>
      <scheme val="minor"/>
    </font>
    <font>
      <sz val="8"/>
      <color theme="1"/>
      <name val="Calibri"/>
      <family val="2"/>
      <scheme val="minor"/>
    </font>
    <font>
      <sz val="10"/>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s>
  <fills count="33">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3" tint="0.59999389629810485"/>
        <bgColor indexed="64"/>
      </patternFill>
    </fill>
    <fill>
      <patternFill patternType="solid">
        <fgColor rgb="FF7030A0"/>
        <bgColor indexed="64"/>
      </patternFill>
    </fill>
    <fill>
      <patternFill patternType="solid">
        <fgColor rgb="FF9F5FCF"/>
        <bgColor indexed="64"/>
      </patternFill>
    </fill>
    <fill>
      <patternFill patternType="solid">
        <fgColor rgb="FFC59EE2"/>
        <bgColor indexed="64"/>
      </patternFill>
    </fill>
    <fill>
      <patternFill patternType="solid">
        <fgColor rgb="FFD5B8EA"/>
        <bgColor indexed="64"/>
      </patternFill>
    </fill>
    <fill>
      <patternFill patternType="solid">
        <fgColor rgb="FFFF8585"/>
        <bgColor indexed="64"/>
      </patternFill>
    </fill>
    <fill>
      <patternFill patternType="solid">
        <fgColor rgb="FF87C0E3"/>
        <bgColor indexed="64"/>
      </patternFill>
    </fill>
    <fill>
      <patternFill patternType="solid">
        <fgColor rgb="FFFFABAB"/>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2" tint="-0.749992370372631"/>
        <bgColor indexed="64"/>
      </patternFill>
    </fill>
    <fill>
      <patternFill patternType="solid">
        <fgColor theme="2" tint="-0.89999084444715716"/>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9" fontId="4" fillId="0" borderId="0" applyFont="0" applyFill="0" applyBorder="0" applyAlignment="0" applyProtection="0"/>
    <xf numFmtId="43" fontId="4" fillId="0" borderId="0" applyFont="0" applyFill="0" applyBorder="0" applyAlignment="0" applyProtection="0"/>
    <xf numFmtId="0" fontId="6" fillId="0" borderId="0" applyNumberFormat="0" applyFill="0" applyBorder="0" applyAlignment="0" applyProtection="0"/>
  </cellStyleXfs>
  <cellXfs count="93">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0" fillId="2" borderId="0" xfId="0" applyFill="1" applyAlignment="1">
      <alignment horizontal="center" vertical="center" textRotation="90" wrapText="1"/>
    </xf>
    <xf numFmtId="0" fontId="0" fillId="8" borderId="0" xfId="0" applyFill="1" applyAlignment="1">
      <alignment horizontal="center" vertical="center" textRotation="90" wrapText="1"/>
    </xf>
    <xf numFmtId="0" fontId="0" fillId="9" borderId="0" xfId="0" applyFill="1" applyAlignment="1">
      <alignment horizontal="center" vertical="center" textRotation="90" wrapText="1"/>
    </xf>
    <xf numFmtId="0" fontId="0" fillId="3" borderId="0" xfId="0" applyFill="1" applyAlignment="1">
      <alignment horizontal="center" vertical="center"/>
    </xf>
    <xf numFmtId="0" fontId="0" fillId="2" borderId="0" xfId="0" applyFill="1" applyAlignment="1">
      <alignment horizontal="center" vertical="center"/>
    </xf>
    <xf numFmtId="0" fontId="0" fillId="4" borderId="0" xfId="0" applyFill="1" applyAlignment="1">
      <alignment horizontal="center" vertical="center"/>
    </xf>
    <xf numFmtId="0" fontId="0" fillId="5" borderId="0" xfId="0" applyFill="1" applyAlignment="1">
      <alignment horizontal="center" vertical="center"/>
    </xf>
    <xf numFmtId="0" fontId="0" fillId="6" borderId="0" xfId="0" applyFill="1" applyAlignment="1">
      <alignment horizontal="center" vertical="center"/>
    </xf>
    <xf numFmtId="0" fontId="0" fillId="7" borderId="0" xfId="0" applyFill="1" applyAlignment="1">
      <alignment horizontal="center" vertical="center"/>
    </xf>
    <xf numFmtId="0" fontId="0" fillId="11" borderId="0" xfId="0" applyFill="1" applyAlignment="1">
      <alignment horizontal="center" vertical="center" textRotation="90" wrapText="1"/>
    </xf>
    <xf numFmtId="0" fontId="0" fillId="11" borderId="0" xfId="0" applyFill="1" applyAlignment="1">
      <alignment horizontal="center" vertical="center"/>
    </xf>
    <xf numFmtId="0" fontId="2" fillId="16" borderId="0" xfId="0" applyFont="1" applyFill="1" applyAlignment="1">
      <alignment horizontal="center" vertical="center" wrapText="1"/>
    </xf>
    <xf numFmtId="0" fontId="0" fillId="16" borderId="0" xfId="0" applyFill="1" applyAlignment="1">
      <alignment horizontal="center" vertical="center" wrapText="1"/>
    </xf>
    <xf numFmtId="0" fontId="0" fillId="17" borderId="0" xfId="0" applyFill="1" applyAlignment="1">
      <alignment horizontal="center" vertical="center" wrapText="1"/>
    </xf>
    <xf numFmtId="0" fontId="0" fillId="18" borderId="0" xfId="0" applyFill="1" applyAlignment="1">
      <alignment horizontal="center" vertical="center" wrapText="1"/>
    </xf>
    <xf numFmtId="0" fontId="0" fillId="8" borderId="0" xfId="0" applyFill="1" applyAlignment="1">
      <alignment horizontal="center" vertical="center" wrapText="1"/>
    </xf>
    <xf numFmtId="0" fontId="2" fillId="18" borderId="0" xfId="0" applyFont="1" applyFill="1" applyAlignment="1">
      <alignment horizontal="center" vertical="center" wrapText="1"/>
    </xf>
    <xf numFmtId="0" fontId="0" fillId="0" borderId="0" xfId="0" applyAlignment="1">
      <alignment vertical="center"/>
    </xf>
    <xf numFmtId="165" fontId="0" fillId="2" borderId="0" xfId="2" applyNumberFormat="1" applyFont="1" applyFill="1" applyAlignment="1">
      <alignment horizontal="center" vertical="center"/>
    </xf>
    <xf numFmtId="0" fontId="0" fillId="2" borderId="0" xfId="0" applyFill="1" applyAlignment="1">
      <alignment horizontal="center" vertical="center" textRotation="90" wrapText="1"/>
    </xf>
    <xf numFmtId="0" fontId="5" fillId="12" borderId="0" xfId="0" applyFont="1" applyFill="1" applyAlignment="1">
      <alignment horizontal="center" vertical="center"/>
    </xf>
    <xf numFmtId="0" fontId="0" fillId="16" borderId="0" xfId="0" applyFill="1" applyAlignment="1">
      <alignment horizontal="center" vertical="center" wrapText="1"/>
    </xf>
    <xf numFmtId="0" fontId="0" fillId="18" borderId="0" xfId="0" applyFill="1" applyAlignment="1">
      <alignment horizontal="center" vertical="center" wrapText="1"/>
    </xf>
    <xf numFmtId="0" fontId="0" fillId="9" borderId="0" xfId="0" applyFill="1" applyAlignment="1">
      <alignment horizontal="center" vertical="center" textRotation="90" wrapText="1"/>
    </xf>
    <xf numFmtId="0" fontId="0" fillId="0" borderId="1" xfId="0" applyBorder="1" applyAlignment="1">
      <alignment horizontal="center" vertical="center"/>
    </xf>
    <xf numFmtId="0" fontId="3" fillId="0" borderId="1" xfId="0" applyFont="1" applyBorder="1" applyAlignment="1">
      <alignment horizontal="center" vertical="center"/>
    </xf>
    <xf numFmtId="164" fontId="3" fillId="0" borderId="1" xfId="1" applyNumberFormat="1"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165" fontId="3" fillId="0" borderId="1" xfId="2" applyNumberFormat="1"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9" fontId="3" fillId="0" borderId="1" xfId="1" applyFont="1" applyBorder="1" applyAlignment="1">
      <alignment horizontal="center" vertical="center"/>
    </xf>
    <xf numFmtId="1" fontId="3" fillId="0" borderId="1" xfId="1" applyNumberFormat="1" applyFont="1" applyBorder="1" applyAlignment="1">
      <alignment horizontal="center" vertical="center"/>
    </xf>
    <xf numFmtId="0" fontId="0" fillId="17" borderId="0" xfId="0" applyFill="1" applyAlignment="1">
      <alignment horizontal="left" vertical="center" wrapText="1"/>
    </xf>
    <xf numFmtId="0" fontId="0" fillId="0" borderId="0" xfId="0" applyAlignment="1">
      <alignment wrapText="1"/>
    </xf>
    <xf numFmtId="0" fontId="6" fillId="0" borderId="0" xfId="3" applyAlignment="1">
      <alignment horizontal="left" vertical="center" wrapText="1"/>
    </xf>
    <xf numFmtId="0" fontId="0" fillId="17" borderId="0" xfId="0" applyFill="1" applyAlignment="1">
      <alignment horizontal="center" vertical="center" wrapText="1"/>
    </xf>
    <xf numFmtId="9" fontId="3" fillId="0" borderId="1" xfId="1" quotePrefix="1" applyFont="1" applyBorder="1" applyAlignment="1">
      <alignment horizontal="center" vertical="center" wrapText="1"/>
    </xf>
    <xf numFmtId="0" fontId="0" fillId="18" borderId="0" xfId="0" applyFont="1" applyFill="1" applyAlignment="1">
      <alignment horizontal="center" vertical="center" wrapText="1"/>
    </xf>
    <xf numFmtId="0" fontId="0" fillId="2" borderId="1" xfId="0" applyFill="1" applyBorder="1" applyAlignment="1">
      <alignment horizontal="center" vertical="center"/>
    </xf>
    <xf numFmtId="0" fontId="0" fillId="0" borderId="0" xfId="0" applyAlignment="1">
      <alignment vertical="center" wrapText="1"/>
    </xf>
    <xf numFmtId="0" fontId="5" fillId="10" borderId="0" xfId="0" applyFont="1" applyFill="1" applyAlignment="1">
      <alignment vertical="center" wrapText="1"/>
    </xf>
    <xf numFmtId="0" fontId="5" fillId="21" borderId="0" xfId="0" applyFont="1" applyFill="1" applyAlignment="1">
      <alignment vertical="center" wrapText="1"/>
    </xf>
    <xf numFmtId="0" fontId="5" fillId="22" borderId="0" xfId="0" applyFont="1" applyFill="1" applyAlignment="1">
      <alignment vertical="center" wrapText="1"/>
    </xf>
    <xf numFmtId="0" fontId="0" fillId="23" borderId="0" xfId="0" applyFill="1" applyAlignment="1">
      <alignment vertical="center" wrapText="1"/>
    </xf>
    <xf numFmtId="0" fontId="0" fillId="24" borderId="0" xfId="0" applyFill="1" applyAlignment="1">
      <alignment vertical="center" wrapText="1"/>
    </xf>
    <xf numFmtId="0" fontId="7" fillId="0" borderId="0" xfId="0" applyFont="1"/>
    <xf numFmtId="0" fontId="6" fillId="0" borderId="0" xfId="3"/>
    <xf numFmtId="0" fontId="0" fillId="16" borderId="0" xfId="0" applyFont="1" applyFill="1" applyAlignment="1">
      <alignment horizontal="left" vertical="center" wrapText="1"/>
    </xf>
    <xf numFmtId="0" fontId="0" fillId="16" borderId="0" xfId="0" applyFill="1" applyAlignment="1">
      <alignment horizontal="left" vertical="center" wrapText="1"/>
    </xf>
    <xf numFmtId="0" fontId="0" fillId="18" borderId="0" xfId="0" applyFill="1" applyAlignment="1">
      <alignment horizontal="left" vertical="center" wrapText="1"/>
    </xf>
    <xf numFmtId="0" fontId="0" fillId="18" borderId="0" xfId="0" applyFont="1" applyFill="1" applyAlignment="1">
      <alignment horizontal="left" vertical="center" wrapText="1"/>
    </xf>
    <xf numFmtId="0" fontId="5" fillId="10" borderId="0" xfId="0" applyFont="1" applyFill="1" applyAlignment="1">
      <alignment vertical="center"/>
    </xf>
    <xf numFmtId="0" fontId="6" fillId="23" borderId="0" xfId="3" applyFill="1" applyAlignment="1">
      <alignment vertical="center" wrapText="1"/>
    </xf>
    <xf numFmtId="0" fontId="5" fillId="10" borderId="0" xfId="0" applyFont="1" applyFill="1" applyAlignment="1">
      <alignment horizontal="left" vertical="center"/>
    </xf>
    <xf numFmtId="0" fontId="5" fillId="21" borderId="0" xfId="0" applyFont="1" applyFill="1" applyAlignment="1">
      <alignment vertical="center"/>
    </xf>
    <xf numFmtId="0" fontId="5" fillId="22" borderId="0" xfId="0" applyFont="1" applyFill="1" applyAlignment="1">
      <alignment vertical="center"/>
    </xf>
    <xf numFmtId="166" fontId="0" fillId="2" borderId="1" xfId="0" applyNumberFormat="1" applyFill="1" applyBorder="1" applyAlignment="1">
      <alignment horizontal="center" vertical="center"/>
    </xf>
    <xf numFmtId="0" fontId="0" fillId="23" borderId="0" xfId="0" applyFill="1" applyAlignment="1">
      <alignment vertical="center"/>
    </xf>
    <xf numFmtId="0" fontId="0" fillId="24" borderId="0" xfId="0" applyFill="1" applyAlignment="1">
      <alignment vertical="center"/>
    </xf>
    <xf numFmtId="0" fontId="6" fillId="25" borderId="0" xfId="3" applyFill="1" applyAlignment="1">
      <alignment vertical="center" wrapText="1"/>
    </xf>
    <xf numFmtId="0" fontId="6" fillId="24" borderId="0" xfId="3" applyFill="1" applyAlignment="1">
      <alignment vertical="center" wrapText="1"/>
    </xf>
    <xf numFmtId="0" fontId="6" fillId="26" borderId="0" xfId="3" applyFill="1" applyAlignment="1">
      <alignment vertical="center" wrapText="1"/>
    </xf>
    <xf numFmtId="0" fontId="6" fillId="9" borderId="0" xfId="3" applyFill="1" applyAlignment="1">
      <alignment vertical="center" wrapText="1"/>
    </xf>
    <xf numFmtId="0" fontId="6" fillId="27" borderId="0" xfId="3" applyFill="1" applyAlignment="1">
      <alignment vertical="center" wrapText="1"/>
    </xf>
    <xf numFmtId="0" fontId="6" fillId="30" borderId="0" xfId="3" applyFill="1" applyAlignment="1">
      <alignment vertical="center" wrapText="1"/>
    </xf>
    <xf numFmtId="0" fontId="6" fillId="28" borderId="0" xfId="3" applyFill="1" applyAlignment="1">
      <alignment vertical="center" wrapText="1"/>
    </xf>
    <xf numFmtId="0" fontId="6" fillId="31" borderId="0" xfId="3" applyFill="1" applyAlignment="1">
      <alignment vertical="center" wrapText="1"/>
    </xf>
    <xf numFmtId="0" fontId="6" fillId="29" borderId="0" xfId="3" applyFill="1" applyAlignment="1">
      <alignment vertical="center" wrapText="1"/>
    </xf>
    <xf numFmtId="0" fontId="0" fillId="32" borderId="0" xfId="0" applyFill="1" applyAlignment="1">
      <alignment horizontal="center" vertical="center"/>
    </xf>
    <xf numFmtId="0" fontId="6" fillId="32" borderId="0" xfId="3" applyFill="1" applyAlignment="1">
      <alignment horizontal="left" vertical="center"/>
    </xf>
    <xf numFmtId="0" fontId="5" fillId="12" borderId="0" xfId="0" applyFont="1" applyFill="1" applyAlignment="1">
      <alignment horizontal="center" vertical="center"/>
    </xf>
    <xf numFmtId="0" fontId="0" fillId="20" borderId="0" xfId="0" applyFill="1" applyAlignment="1">
      <alignment horizontal="center" vertical="center" wrapText="1"/>
    </xf>
    <xf numFmtId="0" fontId="5" fillId="10" borderId="0" xfId="0" applyFont="1" applyFill="1" applyAlignment="1">
      <alignment horizontal="center" vertical="center" wrapText="1"/>
    </xf>
    <xf numFmtId="0" fontId="0" fillId="20" borderId="2" xfId="0" applyFill="1" applyBorder="1" applyAlignment="1">
      <alignment horizontal="center" vertical="center" wrapText="1"/>
    </xf>
    <xf numFmtId="0" fontId="0" fillId="2" borderId="0" xfId="0" applyFill="1" applyAlignment="1">
      <alignment horizontal="center" vertical="center" textRotation="90" wrapText="1"/>
    </xf>
    <xf numFmtId="0" fontId="5" fillId="13" borderId="0" xfId="0" applyFont="1" applyFill="1" applyAlignment="1">
      <alignment horizontal="center" vertical="center" wrapText="1"/>
    </xf>
    <xf numFmtId="0" fontId="5" fillId="14" borderId="0" xfId="0" applyFont="1" applyFill="1" applyAlignment="1">
      <alignment horizontal="center" vertical="center" wrapText="1"/>
    </xf>
    <xf numFmtId="0" fontId="0" fillId="18" borderId="0" xfId="0" applyFill="1" applyAlignment="1">
      <alignment horizontal="center" vertical="center" wrapText="1"/>
    </xf>
    <xf numFmtId="0" fontId="5" fillId="15" borderId="0" xfId="0" applyFont="1" applyFill="1" applyAlignment="1">
      <alignment horizontal="center" vertical="center" wrapText="1"/>
    </xf>
    <xf numFmtId="0" fontId="0" fillId="19" borderId="0" xfId="0" applyFill="1" applyAlignment="1">
      <alignment horizontal="center" vertical="center" wrapText="1"/>
    </xf>
    <xf numFmtId="0" fontId="0" fillId="19" borderId="2" xfId="0" applyFill="1" applyBorder="1" applyAlignment="1">
      <alignment horizontal="center" vertical="center" wrapText="1"/>
    </xf>
    <xf numFmtId="0" fontId="0" fillId="2" borderId="0" xfId="0" applyFill="1" applyAlignment="1">
      <alignment horizontal="center" vertical="center" wrapText="1"/>
    </xf>
    <xf numFmtId="0" fontId="0" fillId="17" borderId="0" xfId="0" applyFill="1" applyAlignment="1">
      <alignment horizontal="center" vertical="center" wrapText="1"/>
    </xf>
    <xf numFmtId="0" fontId="0" fillId="17" borderId="2" xfId="0" applyFill="1" applyBorder="1" applyAlignment="1">
      <alignment horizontal="center" vertical="center" wrapText="1"/>
    </xf>
    <xf numFmtId="0" fontId="0" fillId="16" borderId="0" xfId="0" applyFill="1" applyAlignment="1">
      <alignment horizontal="center" vertical="center" wrapText="1"/>
    </xf>
    <xf numFmtId="0" fontId="0" fillId="9" borderId="0" xfId="0" applyFill="1" applyAlignment="1">
      <alignment horizontal="center" vertical="center" textRotation="90" wrapText="1"/>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colors>
    <mruColors>
      <color rgb="FFFFABAB"/>
      <color rgb="FFFF8585"/>
      <color rgb="FF87C0E3"/>
      <color rgb="FFD5B8EA"/>
      <color rgb="FFC59EE2"/>
      <color rgb="FF9F5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ashcluster.atlassian.net/wiki/spaces/CTK/pages/10789972/People+in+Need+PIN?preview=/10789972/1018200065/2021%20GWC%20HNO%20PIN%20Guidance.pdf"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eAfeTqWxLRZk3Bf4bV3gWd0xb4XWWIJf/view?usp=sharing" TargetMode="External"/><Relationship Id="rId1" Type="http://schemas.openxmlformats.org/officeDocument/2006/relationships/hyperlink" Target="https://drive.google.com/file/d/1IMxiSt-q9FTkX65rMG5qWMyZbcxPRfyk/view?usp=sharing" TargetMode="External"/><Relationship Id="rId6" Type="http://schemas.openxmlformats.org/officeDocument/2006/relationships/hyperlink" Target="https://washcluster.atlassian.net/wiki/spaces/CTK/pages/10788672/Response+prioritization" TargetMode="External"/><Relationship Id="rId5" Type="http://schemas.openxmlformats.org/officeDocument/2006/relationships/hyperlink" Target="https://washcluster.atlassian.net/wiki/spaces/CTK/pages/10782726/Humanitarian+caseload" TargetMode="External"/><Relationship Id="rId4" Type="http://schemas.openxmlformats.org/officeDocument/2006/relationships/hyperlink" Target="https://assessments.hpc.tools/sites/default/files/km/05.HPC_2021-ResponseAnalysisPrioritization_Guide-Final%20draf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52043-430A-47F3-A586-95D277F84621}">
  <dimension ref="A2:D35"/>
  <sheetViews>
    <sheetView topLeftCell="A22" workbookViewId="0">
      <selection activeCell="C27" sqref="C27"/>
    </sheetView>
  </sheetViews>
  <sheetFormatPr defaultRowHeight="14.5" x14ac:dyDescent="0.35"/>
  <cols>
    <col min="1" max="1" width="45.453125" customWidth="1"/>
    <col min="2" max="2" width="70" style="40" customWidth="1"/>
    <col min="3" max="3" width="9.7265625" customWidth="1"/>
    <col min="4" max="4" width="10.54296875" customWidth="1"/>
  </cols>
  <sheetData>
    <row r="2" spans="1:2" x14ac:dyDescent="0.35">
      <c r="A2" s="52" t="s">
        <v>81</v>
      </c>
    </row>
    <row r="3" spans="1:2" x14ac:dyDescent="0.35">
      <c r="A3" t="s">
        <v>48</v>
      </c>
      <c r="B3" s="53" t="s">
        <v>85</v>
      </c>
    </row>
    <row r="4" spans="1:2" x14ac:dyDescent="0.35">
      <c r="A4" t="s">
        <v>82</v>
      </c>
      <c r="B4" s="53" t="s">
        <v>86</v>
      </c>
    </row>
    <row r="5" spans="1:2" x14ac:dyDescent="0.35">
      <c r="A5" t="s">
        <v>84</v>
      </c>
      <c r="B5" s="53" t="s">
        <v>83</v>
      </c>
    </row>
    <row r="7" spans="1:2" x14ac:dyDescent="0.35">
      <c r="A7" s="52" t="s">
        <v>50</v>
      </c>
    </row>
    <row r="8" spans="1:2" x14ac:dyDescent="0.35">
      <c r="A8" t="s">
        <v>51</v>
      </c>
      <c r="B8" s="41" t="s">
        <v>41</v>
      </c>
    </row>
    <row r="9" spans="1:2" x14ac:dyDescent="0.35">
      <c r="A9" t="s">
        <v>52</v>
      </c>
      <c r="B9" s="41" t="s">
        <v>42</v>
      </c>
    </row>
    <row r="10" spans="1:2" x14ac:dyDescent="0.35">
      <c r="A10" t="s">
        <v>53</v>
      </c>
      <c r="B10" s="41" t="s">
        <v>43</v>
      </c>
    </row>
    <row r="12" spans="1:2" x14ac:dyDescent="0.35">
      <c r="A12" s="52" t="s">
        <v>88</v>
      </c>
    </row>
    <row r="13" spans="1:2" ht="29" x14ac:dyDescent="0.35">
      <c r="A13" s="39" t="s">
        <v>33</v>
      </c>
      <c r="B13" s="40" t="s">
        <v>54</v>
      </c>
    </row>
    <row r="14" spans="1:2" ht="43.5" x14ac:dyDescent="0.35">
      <c r="A14" s="39" t="s">
        <v>47</v>
      </c>
      <c r="B14" s="40" t="s">
        <v>55</v>
      </c>
    </row>
    <row r="15" spans="1:2" ht="101.5" x14ac:dyDescent="0.35">
      <c r="A15" s="39" t="s">
        <v>46</v>
      </c>
      <c r="B15" s="40" t="s">
        <v>56</v>
      </c>
    </row>
    <row r="17" spans="1:4" ht="58" x14ac:dyDescent="0.35">
      <c r="A17" s="54" t="s">
        <v>58</v>
      </c>
      <c r="B17" s="40" t="s">
        <v>61</v>
      </c>
    </row>
    <row r="18" spans="1:4" ht="58" x14ac:dyDescent="0.35">
      <c r="A18" s="55" t="s">
        <v>20</v>
      </c>
      <c r="B18" s="40" t="s">
        <v>62</v>
      </c>
    </row>
    <row r="19" spans="1:4" ht="43.5" x14ac:dyDescent="0.35">
      <c r="A19" s="56" t="s">
        <v>31</v>
      </c>
      <c r="B19" s="40" t="s">
        <v>63</v>
      </c>
    </row>
    <row r="20" spans="1:4" ht="29" x14ac:dyDescent="0.35">
      <c r="A20" s="56" t="s">
        <v>32</v>
      </c>
      <c r="B20" s="40" t="s">
        <v>64</v>
      </c>
    </row>
    <row r="21" spans="1:4" ht="43.5" x14ac:dyDescent="0.35">
      <c r="A21" s="57" t="s">
        <v>30</v>
      </c>
      <c r="B21" s="40" t="s">
        <v>65</v>
      </c>
    </row>
    <row r="22" spans="1:4" ht="87" x14ac:dyDescent="0.35">
      <c r="A22" s="57" t="s">
        <v>87</v>
      </c>
      <c r="B22" s="40" t="s">
        <v>66</v>
      </c>
    </row>
    <row r="24" spans="1:4" x14ac:dyDescent="0.35">
      <c r="C24" s="52" t="s">
        <v>110</v>
      </c>
    </row>
    <row r="25" spans="1:4" x14ac:dyDescent="0.35">
      <c r="A25" s="52" t="s">
        <v>68</v>
      </c>
      <c r="C25" t="s">
        <v>78</v>
      </c>
      <c r="D25" t="s">
        <v>79</v>
      </c>
    </row>
    <row r="26" spans="1:4" x14ac:dyDescent="0.35">
      <c r="A26" s="47" t="s">
        <v>69</v>
      </c>
      <c r="B26" s="40" t="s">
        <v>70</v>
      </c>
      <c r="C26" s="59" t="s">
        <v>80</v>
      </c>
      <c r="D26" s="66" t="s">
        <v>80</v>
      </c>
    </row>
    <row r="27" spans="1:4" ht="72.5" x14ac:dyDescent="0.35">
      <c r="A27" s="48" t="s">
        <v>34</v>
      </c>
      <c r="B27" s="40" t="s">
        <v>95</v>
      </c>
      <c r="C27" s="67" t="s">
        <v>80</v>
      </c>
      <c r="D27" s="68" t="s">
        <v>80</v>
      </c>
    </row>
    <row r="28" spans="1:4" ht="29" x14ac:dyDescent="0.35">
      <c r="A28" s="49" t="s">
        <v>35</v>
      </c>
      <c r="B28" s="40" t="s">
        <v>71</v>
      </c>
      <c r="C28" s="69" t="s">
        <v>80</v>
      </c>
      <c r="D28" s="70" t="s">
        <v>80</v>
      </c>
    </row>
    <row r="29" spans="1:4" x14ac:dyDescent="0.35">
      <c r="A29" s="40"/>
      <c r="C29" s="40"/>
      <c r="D29" s="40"/>
    </row>
    <row r="30" spans="1:4" x14ac:dyDescent="0.35">
      <c r="A30" s="50" t="s">
        <v>72</v>
      </c>
      <c r="B30" s="40" t="s">
        <v>73</v>
      </c>
      <c r="C30" s="71" t="s">
        <v>80</v>
      </c>
      <c r="D30" s="72" t="s">
        <v>80</v>
      </c>
    </row>
    <row r="31" spans="1:4" ht="72.5" x14ac:dyDescent="0.35">
      <c r="A31" s="51" t="s">
        <v>74</v>
      </c>
      <c r="B31" s="40" t="s">
        <v>104</v>
      </c>
      <c r="C31" s="73" t="s">
        <v>80</v>
      </c>
      <c r="D31" s="74" t="s">
        <v>80</v>
      </c>
    </row>
    <row r="32" spans="1:4" x14ac:dyDescent="0.35">
      <c r="A32" s="40"/>
    </row>
    <row r="33" spans="1:2" x14ac:dyDescent="0.35">
      <c r="A33" s="46" t="s">
        <v>75</v>
      </c>
    </row>
    <row r="34" spans="1:2" ht="29" x14ac:dyDescent="0.35">
      <c r="A34" s="22" t="s">
        <v>76</v>
      </c>
      <c r="B34" s="40" t="s">
        <v>77</v>
      </c>
    </row>
    <row r="35" spans="1:2" x14ac:dyDescent="0.35">
      <c r="A35" s="40"/>
    </row>
  </sheetData>
  <hyperlinks>
    <hyperlink ref="B8" r:id="rId1" display="https://drive.google.com/file/d/1IMxiSt-q9FTkX65rMG5qWMyZbcxPRfyk/view?usp=sharing" xr:uid="{6A859ACB-5396-4B11-90C2-670AB0E503AA}"/>
    <hyperlink ref="B9" r:id="rId2" display="https://drive.google.com/file/d/1eAfeTqWxLRZk3Bf4bV3gWd0xb4XWWIJf/view?usp=sharing" xr:uid="{5D2D8BD0-72E6-4134-A2E0-75589C4BA670}"/>
    <hyperlink ref="B10" r:id="rId3" display="https://washcluster.atlassian.net/wiki/spaces/CTK/pages/10789972/People+in+Need+PIN?preview=/10789972/1018200065/2021%20GWC%20HNO%20PIN%20Guidance.pdf" xr:uid="{C3D7FF50-7705-40DF-BA7C-6A02EE30E2DC}"/>
    <hyperlink ref="B5" r:id="rId4" display="https://assessments.hpc.tools/sites/default/files/km/05.HPC_2021-ResponseAnalysisPrioritization_Guide-Final draft.pdf" xr:uid="{06E0C9A9-EF09-4D64-8493-8752B753A89B}"/>
    <hyperlink ref="B3" r:id="rId5" display="https://washcluster.atlassian.net/wiki/spaces/CTK/pages/10782726/Humanitarian+caseload" xr:uid="{41DA85DD-5B85-42C4-BFD7-4C564C158282}"/>
    <hyperlink ref="B4" r:id="rId6" display="https://washcluster.atlassian.net/wiki/spaces/CTK/pages/10788672/Response+prioritization" xr:uid="{1BE8F123-5047-42D2-8BD7-E33CD77AB341}"/>
    <hyperlink ref="C26" location="Per_geographical_area_Data_Poor" display="Click here" xr:uid="{3C1FC505-C26F-4B74-B791-E7D9743D1C09}"/>
    <hyperlink ref="D26" location="Per_geographical_area___Rich" display="Click here" xr:uid="{A866737A-435F-461D-B8DA-278D95465D87}"/>
    <hyperlink ref="C27" location="Per_severity_score__Poor" display="Click here" xr:uid="{09069711-4428-4271-B6E7-F063D001B883}"/>
    <hyperlink ref="D27" location="Per_area_severity_Rich" display="Click here" xr:uid="{C8C468CD-FD11-4358-A8D4-134446160805}"/>
    <hyperlink ref="C28" location="Per_vulnerable_groups__Poor" display="Click here" xr:uid="{5C4577D5-62EC-4AA5-B6C6-3D220D6ACA6B}"/>
    <hyperlink ref="D28" location="Per_vulnerable_groups__Rich" display="Click here" xr:uid="{E1488D3A-5BA4-41D1-9BE2-52C5A1BBB1BB}"/>
    <hyperlink ref="C30" location="Combinaison_Poor" display="Click here" xr:uid="{AF0952C5-B7E7-4863-8AAE-38885476A941}"/>
    <hyperlink ref="D30" location="Combinaison_of_prioritization_Rich" display="Click here" xr:uid="{CDE26ED7-60DC-44CF-9604-FD3230FC61FE}"/>
    <hyperlink ref="C31" location="Benchmark_combinaison_Poor" display="Click here" xr:uid="{20E10EAB-FB9C-482B-B5FD-A6AF1D0A479C}"/>
    <hyperlink ref="D31" location="Benchmark_combinaison_Rich" display="Click here" xr:uid="{EAA9464D-DB1A-45FD-9813-0FBC3ACC1E7E}"/>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8BEE8-A754-4844-AAB3-3D69228AAF94}">
  <dimension ref="A1:AC61"/>
  <sheetViews>
    <sheetView zoomScale="80" zoomScaleNormal="80" workbookViewId="0">
      <selection activeCell="U11" sqref="U11"/>
    </sheetView>
  </sheetViews>
  <sheetFormatPr defaultRowHeight="14.5" x14ac:dyDescent="0.35"/>
  <cols>
    <col min="1" max="1" width="19" style="1" customWidth="1"/>
    <col min="2" max="2" width="8.54296875" style="1" customWidth="1"/>
    <col min="3" max="12" width="7.7265625" style="1" customWidth="1"/>
    <col min="13" max="14" width="6.6328125" style="1" customWidth="1"/>
    <col min="15" max="15" width="10.81640625" style="1" customWidth="1"/>
    <col min="16" max="16" width="7.26953125" style="1" customWidth="1"/>
    <col min="17" max="17" width="8.54296875" style="1" customWidth="1"/>
    <col min="18" max="18" width="14.90625" style="1" customWidth="1"/>
    <col min="19" max="19" width="14.36328125" style="1" customWidth="1"/>
    <col min="20" max="20" width="20.54296875" style="1" customWidth="1"/>
    <col min="21" max="21" width="14.08984375" style="1" customWidth="1"/>
    <col min="22" max="22" width="13.54296875" style="1" customWidth="1"/>
    <col min="23" max="23" width="18.08984375" style="36" customWidth="1"/>
    <col min="24" max="27" width="14.81640625" style="1" customWidth="1"/>
    <col min="28" max="28" width="17.08984375" style="1" customWidth="1"/>
    <col min="29" max="29" width="17.7265625" style="1" customWidth="1"/>
    <col min="30" max="30" width="13.90625" style="1" customWidth="1"/>
    <col min="31" max="16384" width="8.7265625" style="1"/>
  </cols>
  <sheetData>
    <row r="1" spans="1:29" ht="29" customHeight="1" x14ac:dyDescent="0.35">
      <c r="A1" s="58" t="s">
        <v>69</v>
      </c>
      <c r="B1" s="47"/>
      <c r="C1" s="47"/>
      <c r="E1" s="79" t="s">
        <v>91</v>
      </c>
      <c r="F1" s="79"/>
      <c r="G1" s="79"/>
      <c r="H1" s="79"/>
      <c r="I1" s="79"/>
      <c r="J1" s="79"/>
      <c r="K1" s="79"/>
      <c r="L1" s="79"/>
      <c r="M1" s="79"/>
      <c r="N1" s="79"/>
      <c r="O1" s="79"/>
      <c r="P1" s="79"/>
    </row>
    <row r="2" spans="1:29" ht="14.5" customHeight="1" x14ac:dyDescent="0.35">
      <c r="A2" s="76" t="s">
        <v>109</v>
      </c>
      <c r="B2" s="75"/>
      <c r="R2" s="77" t="s">
        <v>5</v>
      </c>
      <c r="S2" s="77"/>
      <c r="T2" s="77"/>
      <c r="U2" s="77"/>
      <c r="V2" s="78" t="s">
        <v>67</v>
      </c>
      <c r="W2" s="25"/>
      <c r="X2" s="25"/>
      <c r="Y2" s="25"/>
      <c r="Z2" s="25"/>
      <c r="AA2" s="25"/>
      <c r="AB2" s="25"/>
    </row>
    <row r="3" spans="1:29" ht="14.5" customHeight="1" x14ac:dyDescent="0.35">
      <c r="C3" s="77" t="s">
        <v>3</v>
      </c>
      <c r="D3" s="77"/>
      <c r="E3" s="77"/>
      <c r="F3" s="77"/>
      <c r="G3" s="77"/>
      <c r="H3" s="77"/>
      <c r="I3" s="77"/>
      <c r="J3" s="77"/>
      <c r="K3" s="77"/>
      <c r="L3" s="77"/>
      <c r="M3" s="77"/>
      <c r="N3" s="77"/>
      <c r="O3" s="77"/>
      <c r="R3" s="82" t="s">
        <v>25</v>
      </c>
      <c r="S3" s="82"/>
      <c r="T3" s="82"/>
      <c r="U3" s="86" t="s">
        <v>48</v>
      </c>
      <c r="V3" s="78"/>
      <c r="W3" s="83" t="s">
        <v>26</v>
      </c>
      <c r="X3" s="83"/>
      <c r="Y3" s="83"/>
      <c r="Z3" s="83"/>
      <c r="AA3" s="83"/>
      <c r="AB3" s="83"/>
      <c r="AC3" s="78" t="s">
        <v>49</v>
      </c>
    </row>
    <row r="4" spans="1:29" s="2" customFormat="1" ht="30" customHeight="1" x14ac:dyDescent="0.35">
      <c r="C4" s="82" t="s">
        <v>9</v>
      </c>
      <c r="D4" s="82"/>
      <c r="E4" s="82"/>
      <c r="F4" s="82"/>
      <c r="G4" s="82"/>
      <c r="H4" s="83" t="s">
        <v>23</v>
      </c>
      <c r="I4" s="83"/>
      <c r="J4" s="83"/>
      <c r="K4" s="83"/>
      <c r="L4" s="83"/>
      <c r="M4" s="85" t="s">
        <v>12</v>
      </c>
      <c r="N4" s="85"/>
      <c r="O4" s="81" t="s">
        <v>7</v>
      </c>
      <c r="R4" s="82"/>
      <c r="S4" s="82"/>
      <c r="T4" s="82"/>
      <c r="U4" s="86"/>
      <c r="V4" s="78"/>
      <c r="W4" s="26" t="s">
        <v>27</v>
      </c>
      <c r="X4" s="26"/>
      <c r="Y4" s="84" t="s">
        <v>45</v>
      </c>
      <c r="Z4" s="84"/>
      <c r="AA4" s="84"/>
      <c r="AB4" s="84"/>
      <c r="AC4" s="78"/>
    </row>
    <row r="5" spans="1:29" s="2" customFormat="1" ht="85.5" customHeight="1" x14ac:dyDescent="0.35">
      <c r="A5" s="20" t="s">
        <v>29</v>
      </c>
      <c r="B5" s="35" t="s">
        <v>44</v>
      </c>
      <c r="C5" s="5" t="s">
        <v>0</v>
      </c>
      <c r="D5" s="5" t="s">
        <v>1</v>
      </c>
      <c r="E5" s="5" t="s">
        <v>18</v>
      </c>
      <c r="F5" s="5" t="s">
        <v>2</v>
      </c>
      <c r="G5" s="5" t="s">
        <v>21</v>
      </c>
      <c r="H5" s="6" t="s">
        <v>10</v>
      </c>
      <c r="I5" s="6" t="s">
        <v>11</v>
      </c>
      <c r="J5" s="6" t="s">
        <v>15</v>
      </c>
      <c r="K5" s="6" t="s">
        <v>16</v>
      </c>
      <c r="L5" s="6" t="s">
        <v>17</v>
      </c>
      <c r="M5" s="7" t="s">
        <v>13</v>
      </c>
      <c r="N5" s="7" t="s">
        <v>14</v>
      </c>
      <c r="O5" s="81"/>
      <c r="P5" s="14" t="s">
        <v>24</v>
      </c>
      <c r="Q5" s="1"/>
      <c r="R5" s="42" t="s">
        <v>33</v>
      </c>
      <c r="S5" s="42" t="s">
        <v>47</v>
      </c>
      <c r="T5" s="42" t="s">
        <v>46</v>
      </c>
      <c r="U5" s="87"/>
      <c r="V5" s="78"/>
      <c r="W5" s="16" t="s">
        <v>19</v>
      </c>
      <c r="X5" s="26" t="s">
        <v>20</v>
      </c>
      <c r="Y5" s="27" t="s">
        <v>31</v>
      </c>
      <c r="Z5" s="27" t="s">
        <v>32</v>
      </c>
      <c r="AA5" s="21" t="s">
        <v>30</v>
      </c>
      <c r="AB5" s="44" t="s">
        <v>57</v>
      </c>
      <c r="AC5" s="80"/>
    </row>
    <row r="6" spans="1:29" ht="52" x14ac:dyDescent="0.35">
      <c r="A6" s="29" t="s">
        <v>36</v>
      </c>
      <c r="B6" s="8">
        <v>1</v>
      </c>
      <c r="C6" s="34">
        <v>5000</v>
      </c>
      <c r="D6" s="34">
        <v>6000</v>
      </c>
      <c r="E6" s="34">
        <v>2000</v>
      </c>
      <c r="F6" s="34">
        <v>500</v>
      </c>
      <c r="G6" s="34">
        <v>1500</v>
      </c>
      <c r="H6" s="34">
        <v>1000</v>
      </c>
      <c r="I6" s="34">
        <v>5000</v>
      </c>
      <c r="J6" s="34">
        <f>C6+E6+F6+G6</f>
        <v>9000</v>
      </c>
      <c r="K6" s="34">
        <v>15000</v>
      </c>
      <c r="L6" s="34">
        <v>12000</v>
      </c>
      <c r="M6" s="34">
        <v>800</v>
      </c>
      <c r="N6" s="34">
        <v>800</v>
      </c>
      <c r="O6" s="23">
        <f>M6+N6+K6</f>
        <v>16600</v>
      </c>
      <c r="P6" s="15">
        <v>0</v>
      </c>
      <c r="R6" s="31">
        <v>1</v>
      </c>
      <c r="S6" s="31">
        <v>1</v>
      </c>
      <c r="T6" s="31">
        <v>1</v>
      </c>
      <c r="U6" s="38">
        <f>O6*MIN(R6:T6)</f>
        <v>16600</v>
      </c>
      <c r="V6" s="45">
        <f>U6*P6</f>
        <v>0</v>
      </c>
      <c r="W6" s="32" t="s">
        <v>59</v>
      </c>
      <c r="X6" s="43">
        <v>0</v>
      </c>
      <c r="Y6" s="31">
        <v>0.3</v>
      </c>
      <c r="Z6" s="31">
        <v>0</v>
      </c>
      <c r="AA6" s="31">
        <v>0.3</v>
      </c>
      <c r="AB6" s="31">
        <v>0.3</v>
      </c>
      <c r="AC6" s="45">
        <f>V6*(1-AB6-X6)</f>
        <v>0</v>
      </c>
    </row>
    <row r="7" spans="1:29" ht="63" x14ac:dyDescent="0.35">
      <c r="A7" s="29" t="s">
        <v>37</v>
      </c>
      <c r="B7" s="10">
        <v>2</v>
      </c>
      <c r="C7" s="34">
        <v>5000</v>
      </c>
      <c r="D7" s="34">
        <v>6000</v>
      </c>
      <c r="E7" s="34">
        <v>2000</v>
      </c>
      <c r="F7" s="34">
        <v>500</v>
      </c>
      <c r="G7" s="34">
        <v>1500</v>
      </c>
      <c r="H7" s="34">
        <v>1000</v>
      </c>
      <c r="I7" s="34">
        <v>5000</v>
      </c>
      <c r="J7" s="34">
        <f t="shared" ref="J7:J10" si="0">C7+E7+F7+G7</f>
        <v>9000</v>
      </c>
      <c r="K7" s="34">
        <v>15000</v>
      </c>
      <c r="L7" s="34">
        <v>12000</v>
      </c>
      <c r="M7" s="34">
        <v>800</v>
      </c>
      <c r="N7" s="34">
        <v>800</v>
      </c>
      <c r="O7" s="23">
        <f t="shared" ref="O7:O10" si="1">M7+N7+K7</f>
        <v>16600</v>
      </c>
      <c r="P7" s="15">
        <v>1</v>
      </c>
      <c r="R7" s="31">
        <v>1</v>
      </c>
      <c r="S7" s="31">
        <v>0.6</v>
      </c>
      <c r="T7" s="31">
        <v>1</v>
      </c>
      <c r="U7" s="38">
        <f>O7*MIN(R7:T7)</f>
        <v>9960</v>
      </c>
      <c r="V7" s="45">
        <f>U7*P7</f>
        <v>9960</v>
      </c>
      <c r="W7" s="33" t="s">
        <v>60</v>
      </c>
      <c r="X7" s="43"/>
      <c r="Y7" s="31">
        <v>0.2</v>
      </c>
      <c r="Z7" s="31">
        <v>0</v>
      </c>
      <c r="AA7" s="31">
        <v>0.2</v>
      </c>
      <c r="AB7" s="31">
        <v>0.2</v>
      </c>
      <c r="AC7" s="45">
        <f>V7*(1-AB7-X7)</f>
        <v>7968</v>
      </c>
    </row>
    <row r="8" spans="1:29" x14ac:dyDescent="0.35">
      <c r="A8" s="29" t="s">
        <v>38</v>
      </c>
      <c r="B8" s="11">
        <v>3</v>
      </c>
      <c r="C8" s="34">
        <v>5000</v>
      </c>
      <c r="D8" s="34">
        <v>6000</v>
      </c>
      <c r="E8" s="34">
        <v>2000</v>
      </c>
      <c r="F8" s="34">
        <v>500</v>
      </c>
      <c r="G8" s="34">
        <v>1500</v>
      </c>
      <c r="H8" s="34">
        <v>1000</v>
      </c>
      <c r="I8" s="34">
        <v>5000</v>
      </c>
      <c r="J8" s="34">
        <f t="shared" si="0"/>
        <v>9000</v>
      </c>
      <c r="K8" s="34">
        <v>15000</v>
      </c>
      <c r="L8" s="34">
        <v>12000</v>
      </c>
      <c r="M8" s="34">
        <v>800</v>
      </c>
      <c r="N8" s="34">
        <v>800</v>
      </c>
      <c r="O8" s="23">
        <f t="shared" si="1"/>
        <v>16600</v>
      </c>
      <c r="P8" s="15">
        <v>1</v>
      </c>
      <c r="R8" s="31">
        <v>0.5</v>
      </c>
      <c r="S8" s="31">
        <v>1</v>
      </c>
      <c r="T8" s="31">
        <v>1</v>
      </c>
      <c r="U8" s="38">
        <f>O8*MIN(R8:T8)</f>
        <v>8300</v>
      </c>
      <c r="V8" s="45">
        <f>U8*P8</f>
        <v>8300</v>
      </c>
      <c r="W8" s="32"/>
      <c r="X8" s="37"/>
      <c r="Y8" s="31">
        <v>0.1</v>
      </c>
      <c r="Z8" s="31">
        <v>0</v>
      </c>
      <c r="AA8" s="31">
        <v>0.1</v>
      </c>
      <c r="AB8" s="31">
        <v>0.1</v>
      </c>
      <c r="AC8" s="45">
        <f>V8*(1-AB8-X8)</f>
        <v>7470</v>
      </c>
    </row>
    <row r="9" spans="1:29" x14ac:dyDescent="0.35">
      <c r="A9" s="29" t="s">
        <v>39</v>
      </c>
      <c r="B9" s="12">
        <v>4</v>
      </c>
      <c r="C9" s="34">
        <v>5000</v>
      </c>
      <c r="D9" s="34">
        <v>6000</v>
      </c>
      <c r="E9" s="34">
        <v>2000</v>
      </c>
      <c r="F9" s="34">
        <v>500</v>
      </c>
      <c r="G9" s="34">
        <v>1500</v>
      </c>
      <c r="H9" s="34">
        <v>1000</v>
      </c>
      <c r="I9" s="34">
        <v>5000</v>
      </c>
      <c r="J9" s="34">
        <f t="shared" si="0"/>
        <v>9000</v>
      </c>
      <c r="K9" s="34">
        <v>15000</v>
      </c>
      <c r="L9" s="34">
        <v>12000</v>
      </c>
      <c r="M9" s="34">
        <v>800</v>
      </c>
      <c r="N9" s="34">
        <v>800</v>
      </c>
      <c r="O9" s="23">
        <f t="shared" si="1"/>
        <v>16600</v>
      </c>
      <c r="P9" s="15">
        <v>1</v>
      </c>
      <c r="R9" s="31">
        <v>1</v>
      </c>
      <c r="S9" s="31">
        <v>0.5</v>
      </c>
      <c r="T9" s="31">
        <v>0.5</v>
      </c>
      <c r="U9" s="38">
        <f>O9*MIN(R9:T9)</f>
        <v>8300</v>
      </c>
      <c r="V9" s="45">
        <f>U9*P9</f>
        <v>8300</v>
      </c>
      <c r="W9" s="32"/>
      <c r="X9" s="37"/>
      <c r="Y9" s="31">
        <v>0</v>
      </c>
      <c r="Z9" s="31">
        <v>0</v>
      </c>
      <c r="AA9" s="31">
        <v>0</v>
      </c>
      <c r="AB9" s="31">
        <v>0</v>
      </c>
      <c r="AC9" s="45">
        <f>V9*(1-AB9-X9)</f>
        <v>8300</v>
      </c>
    </row>
    <row r="10" spans="1:29" x14ac:dyDescent="0.35">
      <c r="A10" s="29" t="s">
        <v>40</v>
      </c>
      <c r="B10" s="13">
        <v>5</v>
      </c>
      <c r="C10" s="34">
        <v>5000</v>
      </c>
      <c r="D10" s="34">
        <v>6000</v>
      </c>
      <c r="E10" s="34">
        <v>2000</v>
      </c>
      <c r="F10" s="34">
        <v>500</v>
      </c>
      <c r="G10" s="34">
        <v>1500</v>
      </c>
      <c r="H10" s="34">
        <v>1000</v>
      </c>
      <c r="I10" s="34">
        <v>5000</v>
      </c>
      <c r="J10" s="34">
        <f t="shared" si="0"/>
        <v>9000</v>
      </c>
      <c r="K10" s="34">
        <v>15000</v>
      </c>
      <c r="L10" s="34">
        <v>12000</v>
      </c>
      <c r="M10" s="34">
        <v>800</v>
      </c>
      <c r="N10" s="34">
        <v>800</v>
      </c>
      <c r="O10" s="23">
        <f t="shared" si="1"/>
        <v>16600</v>
      </c>
      <c r="P10" s="15">
        <v>1</v>
      </c>
      <c r="R10" s="31">
        <v>0.5</v>
      </c>
      <c r="S10" s="31">
        <v>0.5</v>
      </c>
      <c r="T10" s="31">
        <v>0.5</v>
      </c>
      <c r="U10" s="38">
        <f>O10*MIN(R10:T10)</f>
        <v>8300</v>
      </c>
      <c r="V10" s="45">
        <f>U10*P10</f>
        <v>8300</v>
      </c>
      <c r="W10" s="32"/>
      <c r="X10" s="37"/>
      <c r="Y10" s="31">
        <v>0</v>
      </c>
      <c r="Z10" s="31">
        <v>0</v>
      </c>
      <c r="AA10" s="31">
        <v>0</v>
      </c>
      <c r="AB10" s="31">
        <v>0</v>
      </c>
      <c r="AC10" s="45">
        <f>V10*(1-AB10-X10)</f>
        <v>8300</v>
      </c>
    </row>
    <row r="13" spans="1:29" ht="24.5" customHeight="1" x14ac:dyDescent="0.35">
      <c r="A13" s="61" t="s">
        <v>93</v>
      </c>
      <c r="B13" s="61"/>
      <c r="C13" s="61"/>
      <c r="E13" s="61" t="s">
        <v>100</v>
      </c>
      <c r="F13" s="61"/>
      <c r="G13" s="61"/>
      <c r="H13" s="61"/>
      <c r="I13" s="61"/>
      <c r="J13" s="61"/>
      <c r="K13" s="61"/>
      <c r="L13" s="61"/>
      <c r="M13" s="61"/>
      <c r="N13" s="61"/>
      <c r="O13" s="61"/>
      <c r="P13" s="61"/>
      <c r="Q13" s="61"/>
      <c r="R13" s="61"/>
      <c r="S13" s="61"/>
    </row>
    <row r="14" spans="1:29" x14ac:dyDescent="0.35">
      <c r="A14" s="76" t="s">
        <v>109</v>
      </c>
      <c r="B14" s="75"/>
    </row>
    <row r="15" spans="1:29" ht="14.5" customHeight="1" x14ac:dyDescent="0.35">
      <c r="R15" s="77" t="s">
        <v>5</v>
      </c>
      <c r="S15" s="77"/>
      <c r="T15" s="77"/>
      <c r="U15" s="77"/>
      <c r="V15" s="78" t="s">
        <v>67</v>
      </c>
      <c r="W15" s="25"/>
      <c r="X15" s="25"/>
      <c r="Y15" s="25"/>
      <c r="Z15" s="25"/>
      <c r="AA15" s="25"/>
      <c r="AB15" s="25"/>
    </row>
    <row r="16" spans="1:29" ht="14.5" customHeight="1" x14ac:dyDescent="0.35">
      <c r="C16" s="77" t="s">
        <v>3</v>
      </c>
      <c r="D16" s="77"/>
      <c r="E16" s="77"/>
      <c r="F16" s="77"/>
      <c r="G16" s="77"/>
      <c r="H16" s="77"/>
      <c r="I16" s="77"/>
      <c r="J16" s="77"/>
      <c r="K16" s="77"/>
      <c r="L16" s="77"/>
      <c r="M16" s="77"/>
      <c r="N16" s="77"/>
      <c r="O16" s="77"/>
      <c r="R16" s="82" t="s">
        <v>25</v>
      </c>
      <c r="S16" s="82"/>
      <c r="T16" s="82"/>
      <c r="U16" s="86" t="s">
        <v>48</v>
      </c>
      <c r="V16" s="78"/>
      <c r="W16" s="83" t="s">
        <v>26</v>
      </c>
      <c r="X16" s="83"/>
      <c r="Y16" s="83"/>
      <c r="Z16" s="83"/>
      <c r="AA16" s="83"/>
      <c r="AB16" s="83"/>
      <c r="AC16" s="78" t="s">
        <v>49</v>
      </c>
    </row>
    <row r="17" spans="1:29" s="36" customFormat="1" ht="30" customHeight="1" x14ac:dyDescent="0.35">
      <c r="C17" s="82" t="s">
        <v>9</v>
      </c>
      <c r="D17" s="82"/>
      <c r="E17" s="82"/>
      <c r="F17" s="82"/>
      <c r="G17" s="82"/>
      <c r="H17" s="83" t="s">
        <v>23</v>
      </c>
      <c r="I17" s="83"/>
      <c r="J17" s="83"/>
      <c r="K17" s="83"/>
      <c r="L17" s="83"/>
      <c r="M17" s="85" t="s">
        <v>12</v>
      </c>
      <c r="N17" s="85"/>
      <c r="O17" s="81" t="s">
        <v>7</v>
      </c>
      <c r="R17" s="82"/>
      <c r="S17" s="82"/>
      <c r="T17" s="82"/>
      <c r="U17" s="86"/>
      <c r="V17" s="78"/>
      <c r="W17" s="26" t="s">
        <v>27</v>
      </c>
      <c r="X17" s="26"/>
      <c r="Y17" s="84" t="s">
        <v>45</v>
      </c>
      <c r="Z17" s="84"/>
      <c r="AA17" s="84"/>
      <c r="AB17" s="84"/>
      <c r="AC17" s="78"/>
    </row>
    <row r="18" spans="1:29" s="36" customFormat="1" ht="85.5" customHeight="1" x14ac:dyDescent="0.35">
      <c r="A18" s="20" t="s">
        <v>29</v>
      </c>
      <c r="B18" s="35" t="s">
        <v>44</v>
      </c>
      <c r="C18" s="24" t="s">
        <v>0</v>
      </c>
      <c r="D18" s="24" t="s">
        <v>1</v>
      </c>
      <c r="E18" s="24" t="s">
        <v>18</v>
      </c>
      <c r="F18" s="24" t="s">
        <v>2</v>
      </c>
      <c r="G18" s="24" t="s">
        <v>21</v>
      </c>
      <c r="H18" s="6" t="s">
        <v>10</v>
      </c>
      <c r="I18" s="6" t="s">
        <v>11</v>
      </c>
      <c r="J18" s="6" t="s">
        <v>15</v>
      </c>
      <c r="K18" s="6" t="s">
        <v>16</v>
      </c>
      <c r="L18" s="6" t="s">
        <v>17</v>
      </c>
      <c r="M18" s="28" t="s">
        <v>13</v>
      </c>
      <c r="N18" s="28" t="s">
        <v>14</v>
      </c>
      <c r="O18" s="81"/>
      <c r="P18" s="14" t="s">
        <v>24</v>
      </c>
      <c r="Q18" s="1"/>
      <c r="R18" s="42" t="s">
        <v>33</v>
      </c>
      <c r="S18" s="42" t="s">
        <v>47</v>
      </c>
      <c r="T18" s="42" t="s">
        <v>46</v>
      </c>
      <c r="U18" s="87"/>
      <c r="V18" s="78"/>
      <c r="W18" s="16" t="s">
        <v>19</v>
      </c>
      <c r="X18" s="26" t="s">
        <v>20</v>
      </c>
      <c r="Y18" s="27" t="s">
        <v>31</v>
      </c>
      <c r="Z18" s="27" t="s">
        <v>32</v>
      </c>
      <c r="AA18" s="21" t="s">
        <v>30</v>
      </c>
      <c r="AB18" s="44" t="s">
        <v>57</v>
      </c>
      <c r="AC18" s="80"/>
    </row>
    <row r="19" spans="1:29" ht="52" x14ac:dyDescent="0.35">
      <c r="A19" s="29" t="s">
        <v>36</v>
      </c>
      <c r="B19" s="8">
        <v>1</v>
      </c>
      <c r="C19" s="34">
        <v>5000</v>
      </c>
      <c r="D19" s="34">
        <v>6000</v>
      </c>
      <c r="E19" s="34">
        <v>2000</v>
      </c>
      <c r="F19" s="34">
        <v>500</v>
      </c>
      <c r="G19" s="34">
        <v>1500</v>
      </c>
      <c r="H19" s="34">
        <v>1000</v>
      </c>
      <c r="I19" s="34">
        <v>5000</v>
      </c>
      <c r="J19" s="34">
        <f>C19+E19+F19+G19</f>
        <v>9000</v>
      </c>
      <c r="K19" s="34">
        <v>15000</v>
      </c>
      <c r="L19" s="34">
        <v>12000</v>
      </c>
      <c r="M19" s="34">
        <v>800</v>
      </c>
      <c r="N19" s="34">
        <v>800</v>
      </c>
      <c r="O19" s="23">
        <f>M19+N19+K19</f>
        <v>16600</v>
      </c>
      <c r="P19" s="15">
        <v>0</v>
      </c>
      <c r="R19" s="31">
        <v>1</v>
      </c>
      <c r="S19" s="31">
        <v>1</v>
      </c>
      <c r="T19" s="31">
        <v>1</v>
      </c>
      <c r="U19" s="38">
        <f>O19*MIN(R19:T19)</f>
        <v>16600</v>
      </c>
      <c r="V19" s="45">
        <f>IF(B19&gt;2,U19,0)</f>
        <v>0</v>
      </c>
      <c r="W19" s="32" t="s">
        <v>59</v>
      </c>
      <c r="X19" s="43">
        <v>0</v>
      </c>
      <c r="Y19" s="31">
        <v>0.3</v>
      </c>
      <c r="Z19" s="31">
        <v>0</v>
      </c>
      <c r="AA19" s="31">
        <v>0.3</v>
      </c>
      <c r="AB19" s="31">
        <v>0.3</v>
      </c>
      <c r="AC19" s="45">
        <f>V19*(1-AB19-X19)</f>
        <v>0</v>
      </c>
    </row>
    <row r="20" spans="1:29" ht="63" x14ac:dyDescent="0.35">
      <c r="A20" s="29" t="s">
        <v>37</v>
      </c>
      <c r="B20" s="10">
        <v>2</v>
      </c>
      <c r="C20" s="34">
        <v>5000</v>
      </c>
      <c r="D20" s="34">
        <v>6000</v>
      </c>
      <c r="E20" s="34">
        <v>2000</v>
      </c>
      <c r="F20" s="34">
        <v>500</v>
      </c>
      <c r="G20" s="34">
        <v>1500</v>
      </c>
      <c r="H20" s="34">
        <v>1000</v>
      </c>
      <c r="I20" s="34">
        <v>5000</v>
      </c>
      <c r="J20" s="34">
        <f t="shared" ref="J20:J23" si="2">C20+E20+F20+G20</f>
        <v>9000</v>
      </c>
      <c r="K20" s="34">
        <v>15000</v>
      </c>
      <c r="L20" s="34">
        <v>12000</v>
      </c>
      <c r="M20" s="34">
        <v>800</v>
      </c>
      <c r="N20" s="34">
        <v>800</v>
      </c>
      <c r="O20" s="23">
        <f t="shared" ref="O20:O23" si="3">M20+N20+K20</f>
        <v>16600</v>
      </c>
      <c r="P20" s="15">
        <v>1</v>
      </c>
      <c r="R20" s="31">
        <v>1</v>
      </c>
      <c r="S20" s="31">
        <v>0.6</v>
      </c>
      <c r="T20" s="31">
        <v>1</v>
      </c>
      <c r="U20" s="38">
        <f>O20*MIN(R20:T20)</f>
        <v>9960</v>
      </c>
      <c r="V20" s="45">
        <f t="shared" ref="V20:V23" si="4">IF(B20&gt;2,U20,0)</f>
        <v>0</v>
      </c>
      <c r="W20" s="33" t="s">
        <v>60</v>
      </c>
      <c r="X20" s="43"/>
      <c r="Y20" s="31">
        <v>0.2</v>
      </c>
      <c r="Z20" s="31">
        <v>0</v>
      </c>
      <c r="AA20" s="31">
        <v>0.2</v>
      </c>
      <c r="AB20" s="31">
        <v>0.2</v>
      </c>
      <c r="AC20" s="45">
        <f>V20*(1-AB20-X20)</f>
        <v>0</v>
      </c>
    </row>
    <row r="21" spans="1:29" x14ac:dyDescent="0.35">
      <c r="A21" s="29" t="s">
        <v>38</v>
      </c>
      <c r="B21" s="11">
        <v>3</v>
      </c>
      <c r="C21" s="34">
        <v>5000</v>
      </c>
      <c r="D21" s="34">
        <v>6000</v>
      </c>
      <c r="E21" s="34">
        <v>2000</v>
      </c>
      <c r="F21" s="34">
        <v>500</v>
      </c>
      <c r="G21" s="34">
        <v>1500</v>
      </c>
      <c r="H21" s="34">
        <v>1000</v>
      </c>
      <c r="I21" s="34">
        <v>5000</v>
      </c>
      <c r="J21" s="34">
        <f t="shared" si="2"/>
        <v>9000</v>
      </c>
      <c r="K21" s="34">
        <v>15000</v>
      </c>
      <c r="L21" s="34">
        <v>12000</v>
      </c>
      <c r="M21" s="34">
        <v>800</v>
      </c>
      <c r="N21" s="34">
        <v>800</v>
      </c>
      <c r="O21" s="23">
        <f t="shared" si="3"/>
        <v>16600</v>
      </c>
      <c r="P21" s="15">
        <v>1</v>
      </c>
      <c r="R21" s="31">
        <v>0.5</v>
      </c>
      <c r="S21" s="31">
        <v>1</v>
      </c>
      <c r="T21" s="31">
        <v>1</v>
      </c>
      <c r="U21" s="38">
        <f>O21*MIN(R21:T21)</f>
        <v>8300</v>
      </c>
      <c r="V21" s="45">
        <f t="shared" si="4"/>
        <v>8300</v>
      </c>
      <c r="W21" s="32"/>
      <c r="X21" s="37"/>
      <c r="Y21" s="31">
        <v>0.1</v>
      </c>
      <c r="Z21" s="31">
        <v>0</v>
      </c>
      <c r="AA21" s="31">
        <v>0.1</v>
      </c>
      <c r="AB21" s="31">
        <v>0.1</v>
      </c>
      <c r="AC21" s="45">
        <f>V21*(1-AB21-X21)</f>
        <v>7470</v>
      </c>
    </row>
    <row r="22" spans="1:29" x14ac:dyDescent="0.35">
      <c r="A22" s="29" t="s">
        <v>39</v>
      </c>
      <c r="B22" s="12">
        <v>4</v>
      </c>
      <c r="C22" s="34">
        <v>5000</v>
      </c>
      <c r="D22" s="34">
        <v>6000</v>
      </c>
      <c r="E22" s="34">
        <v>2000</v>
      </c>
      <c r="F22" s="34">
        <v>500</v>
      </c>
      <c r="G22" s="34">
        <v>1500</v>
      </c>
      <c r="H22" s="34">
        <v>1000</v>
      </c>
      <c r="I22" s="34">
        <v>5000</v>
      </c>
      <c r="J22" s="34">
        <f t="shared" si="2"/>
        <v>9000</v>
      </c>
      <c r="K22" s="34">
        <v>15000</v>
      </c>
      <c r="L22" s="34">
        <v>12000</v>
      </c>
      <c r="M22" s="34">
        <v>800</v>
      </c>
      <c r="N22" s="34">
        <v>800</v>
      </c>
      <c r="O22" s="23">
        <f t="shared" si="3"/>
        <v>16600</v>
      </c>
      <c r="P22" s="15">
        <v>1</v>
      </c>
      <c r="R22" s="31">
        <v>1</v>
      </c>
      <c r="S22" s="31">
        <v>0.5</v>
      </c>
      <c r="T22" s="31">
        <v>0.5</v>
      </c>
      <c r="U22" s="38">
        <f>O22*MIN(R22:T22)</f>
        <v>8300</v>
      </c>
      <c r="V22" s="45">
        <f t="shared" si="4"/>
        <v>8300</v>
      </c>
      <c r="W22" s="32"/>
      <c r="X22" s="37"/>
      <c r="Y22" s="31">
        <v>0</v>
      </c>
      <c r="Z22" s="31">
        <v>0</v>
      </c>
      <c r="AA22" s="31">
        <v>0</v>
      </c>
      <c r="AB22" s="31">
        <v>0</v>
      </c>
      <c r="AC22" s="45">
        <f>V22*(1-AB22-X22)</f>
        <v>8300</v>
      </c>
    </row>
    <row r="23" spans="1:29" x14ac:dyDescent="0.35">
      <c r="A23" s="29" t="s">
        <v>40</v>
      </c>
      <c r="B23" s="13">
        <v>5</v>
      </c>
      <c r="C23" s="34">
        <v>5000</v>
      </c>
      <c r="D23" s="34">
        <v>6000</v>
      </c>
      <c r="E23" s="34">
        <v>2000</v>
      </c>
      <c r="F23" s="34">
        <v>500</v>
      </c>
      <c r="G23" s="34">
        <v>1500</v>
      </c>
      <c r="H23" s="34">
        <v>1000</v>
      </c>
      <c r="I23" s="34">
        <v>5000</v>
      </c>
      <c r="J23" s="34">
        <f t="shared" si="2"/>
        <v>9000</v>
      </c>
      <c r="K23" s="34">
        <v>15000</v>
      </c>
      <c r="L23" s="34">
        <v>12000</v>
      </c>
      <c r="M23" s="34">
        <v>800</v>
      </c>
      <c r="N23" s="34">
        <v>800</v>
      </c>
      <c r="O23" s="23">
        <f t="shared" si="3"/>
        <v>16600</v>
      </c>
      <c r="P23" s="15">
        <v>1</v>
      </c>
      <c r="R23" s="31">
        <v>0.5</v>
      </c>
      <c r="S23" s="31">
        <v>0.5</v>
      </c>
      <c r="T23" s="31">
        <v>0.5</v>
      </c>
      <c r="U23" s="38">
        <f>O23*MIN(R23:T23)</f>
        <v>8300</v>
      </c>
      <c r="V23" s="45">
        <f t="shared" si="4"/>
        <v>8300</v>
      </c>
      <c r="W23" s="32"/>
      <c r="X23" s="37"/>
      <c r="Y23" s="31">
        <v>0</v>
      </c>
      <c r="Z23" s="31">
        <v>0</v>
      </c>
      <c r="AA23" s="31">
        <v>0</v>
      </c>
      <c r="AB23" s="31">
        <v>0</v>
      </c>
      <c r="AC23" s="45">
        <f>V23*(1-AB23-X23)</f>
        <v>8300</v>
      </c>
    </row>
    <row r="26" spans="1:29" x14ac:dyDescent="0.35">
      <c r="A26" s="62" t="s">
        <v>96</v>
      </c>
      <c r="B26" s="62"/>
      <c r="C26" s="62"/>
      <c r="D26" s="62"/>
      <c r="E26" s="62"/>
      <c r="F26" s="62"/>
      <c r="G26" s="62"/>
      <c r="I26" s="62" t="s">
        <v>97</v>
      </c>
      <c r="J26" s="62"/>
      <c r="K26" s="62"/>
      <c r="L26" s="62"/>
      <c r="M26" s="62"/>
      <c r="N26" s="62"/>
      <c r="O26" s="62"/>
      <c r="P26" s="62"/>
      <c r="Q26" s="62"/>
      <c r="R26" s="62"/>
      <c r="S26" s="62"/>
      <c r="T26" s="62"/>
      <c r="U26" s="62"/>
      <c r="V26" s="62"/>
      <c r="W26" s="1"/>
    </row>
    <row r="27" spans="1:29" x14ac:dyDescent="0.35">
      <c r="A27" s="76" t="s">
        <v>109</v>
      </c>
      <c r="B27" s="75"/>
    </row>
    <row r="28" spans="1:29" ht="14.5" customHeight="1" x14ac:dyDescent="0.35">
      <c r="R28" s="77" t="s">
        <v>5</v>
      </c>
      <c r="S28" s="77"/>
      <c r="T28" s="77"/>
      <c r="U28" s="77"/>
      <c r="V28" s="78" t="s">
        <v>67</v>
      </c>
      <c r="W28" s="25"/>
      <c r="X28" s="25"/>
      <c r="Y28" s="25"/>
      <c r="Z28" s="25"/>
      <c r="AA28" s="25"/>
      <c r="AB28" s="25"/>
    </row>
    <row r="29" spans="1:29" ht="14.5" customHeight="1" x14ac:dyDescent="0.35">
      <c r="C29" s="77" t="s">
        <v>3</v>
      </c>
      <c r="D29" s="77"/>
      <c r="E29" s="77"/>
      <c r="F29" s="77"/>
      <c r="G29" s="77"/>
      <c r="H29" s="77"/>
      <c r="I29" s="77"/>
      <c r="J29" s="77"/>
      <c r="K29" s="77"/>
      <c r="L29" s="77"/>
      <c r="M29" s="77"/>
      <c r="N29" s="77"/>
      <c r="O29" s="77"/>
      <c r="R29" s="82" t="s">
        <v>25</v>
      </c>
      <c r="S29" s="82"/>
      <c r="T29" s="82"/>
      <c r="U29" s="86" t="s">
        <v>48</v>
      </c>
      <c r="V29" s="78"/>
      <c r="W29" s="83" t="s">
        <v>26</v>
      </c>
      <c r="X29" s="83"/>
      <c r="Y29" s="83"/>
      <c r="Z29" s="83"/>
      <c r="AA29" s="83"/>
      <c r="AB29" s="83"/>
      <c r="AC29" s="78" t="s">
        <v>49</v>
      </c>
    </row>
    <row r="30" spans="1:29" s="36" customFormat="1" ht="30" customHeight="1" x14ac:dyDescent="0.35">
      <c r="C30" s="82" t="s">
        <v>9</v>
      </c>
      <c r="D30" s="82"/>
      <c r="E30" s="82"/>
      <c r="F30" s="82"/>
      <c r="G30" s="82"/>
      <c r="H30" s="83" t="s">
        <v>23</v>
      </c>
      <c r="I30" s="83"/>
      <c r="J30" s="83"/>
      <c r="K30" s="83"/>
      <c r="L30" s="83"/>
      <c r="M30" s="85" t="s">
        <v>12</v>
      </c>
      <c r="N30" s="85"/>
      <c r="O30" s="81" t="s">
        <v>7</v>
      </c>
      <c r="R30" s="82"/>
      <c r="S30" s="82"/>
      <c r="T30" s="82"/>
      <c r="U30" s="86"/>
      <c r="V30" s="78"/>
      <c r="W30" s="26" t="s">
        <v>27</v>
      </c>
      <c r="X30" s="26"/>
      <c r="Y30" s="84" t="s">
        <v>45</v>
      </c>
      <c r="Z30" s="84"/>
      <c r="AA30" s="84"/>
      <c r="AB30" s="84"/>
      <c r="AC30" s="78"/>
    </row>
    <row r="31" spans="1:29" s="36" customFormat="1" ht="85.5" customHeight="1" x14ac:dyDescent="0.35">
      <c r="A31" s="20" t="s">
        <v>29</v>
      </c>
      <c r="B31" s="35" t="s">
        <v>44</v>
      </c>
      <c r="C31" s="24" t="s">
        <v>0</v>
      </c>
      <c r="D31" s="24" t="s">
        <v>1</v>
      </c>
      <c r="E31" s="24" t="s">
        <v>18</v>
      </c>
      <c r="F31" s="24" t="s">
        <v>2</v>
      </c>
      <c r="G31" s="24" t="s">
        <v>21</v>
      </c>
      <c r="H31" s="6" t="s">
        <v>10</v>
      </c>
      <c r="I31" s="6" t="s">
        <v>11</v>
      </c>
      <c r="J31" s="6" t="s">
        <v>15</v>
      </c>
      <c r="K31" s="6" t="s">
        <v>16</v>
      </c>
      <c r="L31" s="6" t="s">
        <v>17</v>
      </c>
      <c r="M31" s="28" t="s">
        <v>13</v>
      </c>
      <c r="N31" s="28" t="s">
        <v>14</v>
      </c>
      <c r="O31" s="81"/>
      <c r="P31" s="14" t="s">
        <v>24</v>
      </c>
      <c r="Q31" s="1"/>
      <c r="R31" s="42" t="s">
        <v>33</v>
      </c>
      <c r="S31" s="42" t="s">
        <v>47</v>
      </c>
      <c r="T31" s="42" t="s">
        <v>46</v>
      </c>
      <c r="U31" s="87"/>
      <c r="V31" s="78"/>
      <c r="W31" s="16" t="s">
        <v>19</v>
      </c>
      <c r="X31" s="26" t="s">
        <v>20</v>
      </c>
      <c r="Y31" s="27" t="s">
        <v>31</v>
      </c>
      <c r="Z31" s="27" t="s">
        <v>32</v>
      </c>
      <c r="AA31" s="21" t="s">
        <v>30</v>
      </c>
      <c r="AB31" s="44" t="s">
        <v>57</v>
      </c>
      <c r="AC31" s="80"/>
    </row>
    <row r="32" spans="1:29" ht="52" x14ac:dyDescent="0.35">
      <c r="A32" s="29" t="s">
        <v>36</v>
      </c>
      <c r="B32" s="8">
        <v>1</v>
      </c>
      <c r="C32" s="34">
        <v>5000</v>
      </c>
      <c r="D32" s="34">
        <v>6000</v>
      </c>
      <c r="E32" s="34">
        <v>2000</v>
      </c>
      <c r="F32" s="34">
        <v>500</v>
      </c>
      <c r="G32" s="34">
        <v>1500</v>
      </c>
      <c r="H32" s="34">
        <v>1000</v>
      </c>
      <c r="I32" s="34">
        <v>5000</v>
      </c>
      <c r="J32" s="34">
        <f>C32+E32+F32+G32</f>
        <v>9000</v>
      </c>
      <c r="K32" s="34">
        <v>15000</v>
      </c>
      <c r="L32" s="34">
        <v>12000</v>
      </c>
      <c r="M32" s="34">
        <v>800</v>
      </c>
      <c r="N32" s="34">
        <v>800</v>
      </c>
      <c r="O32" s="23">
        <f>M32+N32+K32</f>
        <v>16600</v>
      </c>
      <c r="P32" s="15">
        <v>0</v>
      </c>
      <c r="R32" s="31">
        <v>1</v>
      </c>
      <c r="S32" s="31">
        <v>1</v>
      </c>
      <c r="T32" s="31">
        <v>1</v>
      </c>
      <c r="U32" s="38">
        <f>O32*MIN(R32:T32)</f>
        <v>16600</v>
      </c>
      <c r="V32" s="63">
        <f>(C32+F32+G32)*MIN(R32:T32)</f>
        <v>7000</v>
      </c>
      <c r="W32" s="32" t="s">
        <v>59</v>
      </c>
      <c r="X32" s="43">
        <v>0</v>
      </c>
      <c r="Y32" s="31">
        <v>0.3</v>
      </c>
      <c r="Z32" s="31">
        <v>0</v>
      </c>
      <c r="AA32" s="31">
        <v>0.3</v>
      </c>
      <c r="AB32" s="31">
        <v>0.3</v>
      </c>
      <c r="AC32" s="45">
        <f>V32*(1-AB32-X32)</f>
        <v>4900</v>
      </c>
    </row>
    <row r="33" spans="1:29" ht="63" x14ac:dyDescent="0.35">
      <c r="A33" s="29" t="s">
        <v>37</v>
      </c>
      <c r="B33" s="10">
        <v>2</v>
      </c>
      <c r="C33" s="34">
        <v>5000</v>
      </c>
      <c r="D33" s="34">
        <v>6000</v>
      </c>
      <c r="E33" s="34">
        <v>2000</v>
      </c>
      <c r="F33" s="34">
        <v>500</v>
      </c>
      <c r="G33" s="34">
        <v>1500</v>
      </c>
      <c r="H33" s="34">
        <v>1000</v>
      </c>
      <c r="I33" s="34">
        <v>5000</v>
      </c>
      <c r="J33" s="34">
        <f t="shared" ref="J33:J36" si="5">C33+E33+F33+G33</f>
        <v>9000</v>
      </c>
      <c r="K33" s="34">
        <v>15000</v>
      </c>
      <c r="L33" s="34">
        <v>12000</v>
      </c>
      <c r="M33" s="34">
        <v>800</v>
      </c>
      <c r="N33" s="34">
        <v>800</v>
      </c>
      <c r="O33" s="23">
        <f t="shared" ref="O33:O36" si="6">M33+N33+K33</f>
        <v>16600</v>
      </c>
      <c r="P33" s="15">
        <v>1</v>
      </c>
      <c r="R33" s="31">
        <v>1</v>
      </c>
      <c r="S33" s="31">
        <v>0.6</v>
      </c>
      <c r="T33" s="31">
        <v>1</v>
      </c>
      <c r="U33" s="38">
        <f>O33*MIN(R33:T33)</f>
        <v>9960</v>
      </c>
      <c r="V33" s="63">
        <f t="shared" ref="V33:V36" si="7">(C33+F33+G33)*MIN(R33:T33)</f>
        <v>4200</v>
      </c>
      <c r="W33" s="33" t="s">
        <v>60</v>
      </c>
      <c r="X33" s="43"/>
      <c r="Y33" s="31">
        <v>0.2</v>
      </c>
      <c r="Z33" s="31">
        <v>0</v>
      </c>
      <c r="AA33" s="31">
        <v>0.2</v>
      </c>
      <c r="AB33" s="31">
        <v>0.2</v>
      </c>
      <c r="AC33" s="45">
        <f>V33*(1-AB33-X33)</f>
        <v>3360</v>
      </c>
    </row>
    <row r="34" spans="1:29" x14ac:dyDescent="0.35">
      <c r="A34" s="29" t="s">
        <v>38</v>
      </c>
      <c r="B34" s="11">
        <v>3</v>
      </c>
      <c r="C34" s="34">
        <v>5000</v>
      </c>
      <c r="D34" s="34">
        <v>6000</v>
      </c>
      <c r="E34" s="34">
        <v>2000</v>
      </c>
      <c r="F34" s="34">
        <v>500</v>
      </c>
      <c r="G34" s="34">
        <v>1500</v>
      </c>
      <c r="H34" s="34">
        <v>1000</v>
      </c>
      <c r="I34" s="34">
        <v>5000</v>
      </c>
      <c r="J34" s="34">
        <f t="shared" si="5"/>
        <v>9000</v>
      </c>
      <c r="K34" s="34">
        <v>15000</v>
      </c>
      <c r="L34" s="34">
        <v>12000</v>
      </c>
      <c r="M34" s="34">
        <v>800</v>
      </c>
      <c r="N34" s="34">
        <v>800</v>
      </c>
      <c r="O34" s="23">
        <f t="shared" si="6"/>
        <v>16600</v>
      </c>
      <c r="P34" s="15">
        <v>1</v>
      </c>
      <c r="R34" s="31">
        <v>0.5</v>
      </c>
      <c r="S34" s="31">
        <v>1</v>
      </c>
      <c r="T34" s="31">
        <v>1</v>
      </c>
      <c r="U34" s="38">
        <f>O34*MIN(R34:T34)</f>
        <v>8300</v>
      </c>
      <c r="V34" s="63">
        <f t="shared" si="7"/>
        <v>3500</v>
      </c>
      <c r="W34" s="32"/>
      <c r="X34" s="37"/>
      <c r="Y34" s="31">
        <v>0.1</v>
      </c>
      <c r="Z34" s="31">
        <v>0</v>
      </c>
      <c r="AA34" s="31">
        <v>0.1</v>
      </c>
      <c r="AB34" s="31">
        <v>0.1</v>
      </c>
      <c r="AC34" s="45">
        <f>V34*(1-AB34-X34)</f>
        <v>3150</v>
      </c>
    </row>
    <row r="35" spans="1:29" x14ac:dyDescent="0.35">
      <c r="A35" s="29" t="s">
        <v>39</v>
      </c>
      <c r="B35" s="12">
        <v>4</v>
      </c>
      <c r="C35" s="34">
        <v>5000</v>
      </c>
      <c r="D35" s="34">
        <v>6000</v>
      </c>
      <c r="E35" s="34">
        <v>2000</v>
      </c>
      <c r="F35" s="34">
        <v>500</v>
      </c>
      <c r="G35" s="34">
        <v>1500</v>
      </c>
      <c r="H35" s="34">
        <v>1000</v>
      </c>
      <c r="I35" s="34">
        <v>5000</v>
      </c>
      <c r="J35" s="34">
        <f t="shared" si="5"/>
        <v>9000</v>
      </c>
      <c r="K35" s="34">
        <v>15000</v>
      </c>
      <c r="L35" s="34">
        <v>12000</v>
      </c>
      <c r="M35" s="34">
        <v>800</v>
      </c>
      <c r="N35" s="34">
        <v>800</v>
      </c>
      <c r="O35" s="23">
        <f t="shared" si="6"/>
        <v>16600</v>
      </c>
      <c r="P35" s="15">
        <v>1</v>
      </c>
      <c r="R35" s="31">
        <v>1</v>
      </c>
      <c r="S35" s="31">
        <v>0.5</v>
      </c>
      <c r="T35" s="31">
        <v>0.5</v>
      </c>
      <c r="U35" s="38">
        <f>O35*MIN(R35:T35)</f>
        <v>8300</v>
      </c>
      <c r="V35" s="63">
        <f t="shared" si="7"/>
        <v>3500</v>
      </c>
      <c r="W35" s="32"/>
      <c r="X35" s="37"/>
      <c r="Y35" s="31">
        <v>0</v>
      </c>
      <c r="Z35" s="31">
        <v>0</v>
      </c>
      <c r="AA35" s="31">
        <v>0</v>
      </c>
      <c r="AB35" s="31">
        <v>0</v>
      </c>
      <c r="AC35" s="45">
        <f>V35*(1-AB35-X35)</f>
        <v>3500</v>
      </c>
    </row>
    <row r="36" spans="1:29" x14ac:dyDescent="0.35">
      <c r="A36" s="29" t="s">
        <v>40</v>
      </c>
      <c r="B36" s="13">
        <v>5</v>
      </c>
      <c r="C36" s="34">
        <v>5000</v>
      </c>
      <c r="D36" s="34">
        <v>6000</v>
      </c>
      <c r="E36" s="34">
        <v>2000</v>
      </c>
      <c r="F36" s="34">
        <v>500</v>
      </c>
      <c r="G36" s="34">
        <v>1500</v>
      </c>
      <c r="H36" s="34">
        <v>1000</v>
      </c>
      <c r="I36" s="34">
        <v>5000</v>
      </c>
      <c r="J36" s="34">
        <f t="shared" si="5"/>
        <v>9000</v>
      </c>
      <c r="K36" s="34">
        <v>15000</v>
      </c>
      <c r="L36" s="34">
        <v>12000</v>
      </c>
      <c r="M36" s="34">
        <v>800</v>
      </c>
      <c r="N36" s="34">
        <v>800</v>
      </c>
      <c r="O36" s="23">
        <f t="shared" si="6"/>
        <v>16600</v>
      </c>
      <c r="P36" s="15">
        <v>1</v>
      </c>
      <c r="R36" s="31">
        <v>0.5</v>
      </c>
      <c r="S36" s="31">
        <v>0.5</v>
      </c>
      <c r="T36" s="31">
        <v>0.5</v>
      </c>
      <c r="U36" s="38">
        <f>O36*MIN(R36:T36)</f>
        <v>8300</v>
      </c>
      <c r="V36" s="63">
        <f t="shared" si="7"/>
        <v>3500</v>
      </c>
      <c r="W36" s="32"/>
      <c r="X36" s="37"/>
      <c r="Y36" s="31">
        <v>0</v>
      </c>
      <c r="Z36" s="31">
        <v>0</v>
      </c>
      <c r="AA36" s="31">
        <v>0</v>
      </c>
      <c r="AB36" s="31">
        <v>0</v>
      </c>
      <c r="AC36" s="45">
        <f>V36*(1-AB36-X36)</f>
        <v>3500</v>
      </c>
    </row>
    <row r="39" spans="1:29" x14ac:dyDescent="0.35">
      <c r="A39" s="64" t="s">
        <v>101</v>
      </c>
      <c r="B39" s="64"/>
      <c r="C39" s="64"/>
      <c r="D39" s="64"/>
      <c r="E39" s="64"/>
      <c r="F39" s="64"/>
      <c r="G39" s="64"/>
      <c r="H39" s="64"/>
      <c r="I39" s="64"/>
      <c r="J39" s="64"/>
      <c r="K39" s="64"/>
      <c r="M39" s="64" t="s">
        <v>105</v>
      </c>
      <c r="N39" s="64"/>
      <c r="O39" s="64"/>
      <c r="P39" s="64"/>
      <c r="Q39" s="64"/>
      <c r="R39" s="64"/>
      <c r="S39" s="64"/>
      <c r="T39" s="64"/>
      <c r="U39" s="64"/>
      <c r="V39" s="64"/>
      <c r="W39" s="64"/>
      <c r="X39" s="64"/>
      <c r="Y39" s="64"/>
      <c r="Z39" s="64"/>
    </row>
    <row r="40" spans="1:29" x14ac:dyDescent="0.35">
      <c r="A40" s="76" t="s">
        <v>109</v>
      </c>
      <c r="B40" s="75"/>
    </row>
    <row r="41" spans="1:29" ht="14.5" customHeight="1" x14ac:dyDescent="0.35">
      <c r="R41" s="77" t="s">
        <v>5</v>
      </c>
      <c r="S41" s="77"/>
      <c r="T41" s="77"/>
      <c r="U41" s="77"/>
      <c r="V41" s="78" t="s">
        <v>67</v>
      </c>
      <c r="W41" s="25"/>
      <c r="X41" s="25"/>
      <c r="Y41" s="25"/>
      <c r="Z41" s="25"/>
      <c r="AA41" s="25"/>
      <c r="AB41" s="25"/>
    </row>
    <row r="42" spans="1:29" ht="14.5" customHeight="1" x14ac:dyDescent="0.35">
      <c r="C42" s="77" t="s">
        <v>3</v>
      </c>
      <c r="D42" s="77"/>
      <c r="E42" s="77"/>
      <c r="F42" s="77"/>
      <c r="G42" s="77"/>
      <c r="H42" s="77"/>
      <c r="I42" s="77"/>
      <c r="J42" s="77"/>
      <c r="K42" s="77"/>
      <c r="L42" s="77"/>
      <c r="M42" s="77"/>
      <c r="N42" s="77"/>
      <c r="O42" s="77"/>
      <c r="R42" s="82" t="s">
        <v>25</v>
      </c>
      <c r="S42" s="82"/>
      <c r="T42" s="82"/>
      <c r="U42" s="86" t="s">
        <v>48</v>
      </c>
      <c r="V42" s="78"/>
      <c r="W42" s="83" t="s">
        <v>26</v>
      </c>
      <c r="X42" s="83"/>
      <c r="Y42" s="83"/>
      <c r="Z42" s="83"/>
      <c r="AA42" s="83"/>
      <c r="AB42" s="83"/>
      <c r="AC42" s="78" t="s">
        <v>49</v>
      </c>
    </row>
    <row r="43" spans="1:29" s="36" customFormat="1" ht="30" customHeight="1" x14ac:dyDescent="0.35">
      <c r="C43" s="82" t="s">
        <v>9</v>
      </c>
      <c r="D43" s="82"/>
      <c r="E43" s="82"/>
      <c r="F43" s="82"/>
      <c r="G43" s="82"/>
      <c r="H43" s="83" t="s">
        <v>23</v>
      </c>
      <c r="I43" s="83"/>
      <c r="J43" s="83"/>
      <c r="K43" s="83"/>
      <c r="L43" s="83"/>
      <c r="M43" s="85" t="s">
        <v>12</v>
      </c>
      <c r="N43" s="85"/>
      <c r="O43" s="81" t="s">
        <v>7</v>
      </c>
      <c r="R43" s="82"/>
      <c r="S43" s="82"/>
      <c r="T43" s="82"/>
      <c r="U43" s="86"/>
      <c r="V43" s="78"/>
      <c r="W43" s="26" t="s">
        <v>27</v>
      </c>
      <c r="X43" s="26"/>
      <c r="Y43" s="84" t="s">
        <v>45</v>
      </c>
      <c r="Z43" s="84"/>
      <c r="AA43" s="84"/>
      <c r="AB43" s="84"/>
      <c r="AC43" s="78"/>
    </row>
    <row r="44" spans="1:29" s="36" customFormat="1" ht="85.5" customHeight="1" x14ac:dyDescent="0.35">
      <c r="A44" s="20" t="s">
        <v>29</v>
      </c>
      <c r="B44" s="35" t="s">
        <v>44</v>
      </c>
      <c r="C44" s="24" t="s">
        <v>0</v>
      </c>
      <c r="D44" s="24" t="s">
        <v>1</v>
      </c>
      <c r="E44" s="24" t="s">
        <v>18</v>
      </c>
      <c r="F44" s="24" t="s">
        <v>2</v>
      </c>
      <c r="G44" s="24" t="s">
        <v>21</v>
      </c>
      <c r="H44" s="6" t="s">
        <v>10</v>
      </c>
      <c r="I44" s="6" t="s">
        <v>11</v>
      </c>
      <c r="J44" s="6" t="s">
        <v>15</v>
      </c>
      <c r="K44" s="6" t="s">
        <v>16</v>
      </c>
      <c r="L44" s="6" t="s">
        <v>17</v>
      </c>
      <c r="M44" s="28" t="s">
        <v>13</v>
      </c>
      <c r="N44" s="28" t="s">
        <v>14</v>
      </c>
      <c r="O44" s="81"/>
      <c r="P44" s="14" t="s">
        <v>24</v>
      </c>
      <c r="Q44" s="1"/>
      <c r="R44" s="42" t="s">
        <v>33</v>
      </c>
      <c r="S44" s="42" t="s">
        <v>47</v>
      </c>
      <c r="T44" s="42" t="s">
        <v>46</v>
      </c>
      <c r="U44" s="87"/>
      <c r="V44" s="78"/>
      <c r="W44" s="16" t="s">
        <v>19</v>
      </c>
      <c r="X44" s="26" t="s">
        <v>20</v>
      </c>
      <c r="Y44" s="27" t="s">
        <v>31</v>
      </c>
      <c r="Z44" s="27" t="s">
        <v>32</v>
      </c>
      <c r="AA44" s="21" t="s">
        <v>30</v>
      </c>
      <c r="AB44" s="44" t="s">
        <v>57</v>
      </c>
      <c r="AC44" s="80"/>
    </row>
    <row r="45" spans="1:29" ht="52" x14ac:dyDescent="0.35">
      <c r="A45" s="29" t="s">
        <v>36</v>
      </c>
      <c r="B45" s="8">
        <v>1</v>
      </c>
      <c r="C45" s="34">
        <v>5000</v>
      </c>
      <c r="D45" s="34">
        <v>6000</v>
      </c>
      <c r="E45" s="34">
        <v>2000</v>
      </c>
      <c r="F45" s="34">
        <v>500</v>
      </c>
      <c r="G45" s="34">
        <v>1500</v>
      </c>
      <c r="H45" s="34">
        <v>1000</v>
      </c>
      <c r="I45" s="34">
        <v>5000</v>
      </c>
      <c r="J45" s="34">
        <f>C45+E45+F45+G45</f>
        <v>9000</v>
      </c>
      <c r="K45" s="34">
        <v>15000</v>
      </c>
      <c r="L45" s="34">
        <v>12000</v>
      </c>
      <c r="M45" s="34">
        <v>800</v>
      </c>
      <c r="N45" s="34">
        <v>800</v>
      </c>
      <c r="O45" s="23">
        <f>M45+N45+K45</f>
        <v>16600</v>
      </c>
      <c r="P45" s="15">
        <v>0</v>
      </c>
      <c r="R45" s="31">
        <v>1</v>
      </c>
      <c r="S45" s="31">
        <v>1</v>
      </c>
      <c r="T45" s="31">
        <v>1</v>
      </c>
      <c r="U45" s="38">
        <f>O45*MIN(R45:T45)</f>
        <v>16600</v>
      </c>
      <c r="V45" s="63">
        <f>IF(B45&gt;2,(C45+F45+G45)*MIN(R45:T45),0)</f>
        <v>0</v>
      </c>
      <c r="W45" s="32" t="s">
        <v>59</v>
      </c>
      <c r="X45" s="43">
        <v>0</v>
      </c>
      <c r="Y45" s="31">
        <v>0.3</v>
      </c>
      <c r="Z45" s="31">
        <v>0</v>
      </c>
      <c r="AA45" s="31">
        <v>0.3</v>
      </c>
      <c r="AB45" s="31">
        <v>0.3</v>
      </c>
      <c r="AC45" s="45">
        <f>V45*(1-AB45-X45)</f>
        <v>0</v>
      </c>
    </row>
    <row r="46" spans="1:29" ht="63" x14ac:dyDescent="0.35">
      <c r="A46" s="29" t="s">
        <v>37</v>
      </c>
      <c r="B46" s="10">
        <v>2</v>
      </c>
      <c r="C46" s="34">
        <v>5000</v>
      </c>
      <c r="D46" s="34">
        <v>6000</v>
      </c>
      <c r="E46" s="34">
        <v>2000</v>
      </c>
      <c r="F46" s="34">
        <v>500</v>
      </c>
      <c r="G46" s="34">
        <v>1500</v>
      </c>
      <c r="H46" s="34">
        <v>1000</v>
      </c>
      <c r="I46" s="34">
        <v>5000</v>
      </c>
      <c r="J46" s="34">
        <f t="shared" ref="J46:J49" si="8">C46+E46+F46+G46</f>
        <v>9000</v>
      </c>
      <c r="K46" s="34">
        <v>15000</v>
      </c>
      <c r="L46" s="34">
        <v>12000</v>
      </c>
      <c r="M46" s="34">
        <v>800</v>
      </c>
      <c r="N46" s="34">
        <v>800</v>
      </c>
      <c r="O46" s="23">
        <f t="shared" ref="O46:O49" si="9">M46+N46+K46</f>
        <v>16600</v>
      </c>
      <c r="P46" s="15">
        <v>1</v>
      </c>
      <c r="R46" s="31">
        <v>1</v>
      </c>
      <c r="S46" s="31">
        <v>0.6</v>
      </c>
      <c r="T46" s="31">
        <v>1</v>
      </c>
      <c r="U46" s="38">
        <f>O46*MIN(R46:T46)</f>
        <v>9960</v>
      </c>
      <c r="V46" s="63">
        <f t="shared" ref="V46:V49" si="10">IF(B46&gt;2,(C46+F46+G46)*MIN(R46:T46),0)</f>
        <v>0</v>
      </c>
      <c r="W46" s="33" t="s">
        <v>60</v>
      </c>
      <c r="X46" s="43"/>
      <c r="Y46" s="31">
        <v>0.2</v>
      </c>
      <c r="Z46" s="31">
        <v>0</v>
      </c>
      <c r="AA46" s="31">
        <v>0.2</v>
      </c>
      <c r="AB46" s="31">
        <v>0.2</v>
      </c>
      <c r="AC46" s="45">
        <f>V46*(1-AB46-X46)</f>
        <v>0</v>
      </c>
    </row>
    <row r="47" spans="1:29" x14ac:dyDescent="0.35">
      <c r="A47" s="29" t="s">
        <v>38</v>
      </c>
      <c r="B47" s="11">
        <v>3</v>
      </c>
      <c r="C47" s="34">
        <v>5000</v>
      </c>
      <c r="D47" s="34">
        <v>6000</v>
      </c>
      <c r="E47" s="34">
        <v>2000</v>
      </c>
      <c r="F47" s="34">
        <v>500</v>
      </c>
      <c r="G47" s="34">
        <v>1500</v>
      </c>
      <c r="H47" s="34">
        <v>1000</v>
      </c>
      <c r="I47" s="34">
        <v>5000</v>
      </c>
      <c r="J47" s="34">
        <f t="shared" si="8"/>
        <v>9000</v>
      </c>
      <c r="K47" s="34">
        <v>15000</v>
      </c>
      <c r="L47" s="34">
        <v>12000</v>
      </c>
      <c r="M47" s="34">
        <v>800</v>
      </c>
      <c r="N47" s="34">
        <v>800</v>
      </c>
      <c r="O47" s="23">
        <f t="shared" si="9"/>
        <v>16600</v>
      </c>
      <c r="P47" s="15">
        <v>1</v>
      </c>
      <c r="R47" s="31">
        <v>0.5</v>
      </c>
      <c r="S47" s="31">
        <v>1</v>
      </c>
      <c r="T47" s="31">
        <v>1</v>
      </c>
      <c r="U47" s="38">
        <f>O47*MIN(R47:T47)</f>
        <v>8300</v>
      </c>
      <c r="V47" s="63">
        <f t="shared" si="10"/>
        <v>3500</v>
      </c>
      <c r="W47" s="32"/>
      <c r="X47" s="37"/>
      <c r="Y47" s="31">
        <v>0.1</v>
      </c>
      <c r="Z47" s="31">
        <v>0</v>
      </c>
      <c r="AA47" s="31">
        <v>0.1</v>
      </c>
      <c r="AB47" s="31">
        <v>0.1</v>
      </c>
      <c r="AC47" s="45">
        <f>V47*(1-AB47-X47)</f>
        <v>3150</v>
      </c>
    </row>
    <row r="48" spans="1:29" x14ac:dyDescent="0.35">
      <c r="A48" s="29" t="s">
        <v>39</v>
      </c>
      <c r="B48" s="12">
        <v>4</v>
      </c>
      <c r="C48" s="34">
        <v>5000</v>
      </c>
      <c r="D48" s="34">
        <v>6000</v>
      </c>
      <c r="E48" s="34">
        <v>2000</v>
      </c>
      <c r="F48" s="34">
        <v>500</v>
      </c>
      <c r="G48" s="34">
        <v>1500</v>
      </c>
      <c r="H48" s="34">
        <v>1000</v>
      </c>
      <c r="I48" s="34">
        <v>5000</v>
      </c>
      <c r="J48" s="34">
        <f t="shared" si="8"/>
        <v>9000</v>
      </c>
      <c r="K48" s="34">
        <v>15000</v>
      </c>
      <c r="L48" s="34">
        <v>12000</v>
      </c>
      <c r="M48" s="34">
        <v>800</v>
      </c>
      <c r="N48" s="34">
        <v>800</v>
      </c>
      <c r="O48" s="23">
        <f t="shared" si="9"/>
        <v>16600</v>
      </c>
      <c r="P48" s="15">
        <v>1</v>
      </c>
      <c r="R48" s="31">
        <v>1</v>
      </c>
      <c r="S48" s="31">
        <v>0.5</v>
      </c>
      <c r="T48" s="31">
        <v>0.5</v>
      </c>
      <c r="U48" s="38">
        <f>O48*MIN(R48:T48)</f>
        <v>8300</v>
      </c>
      <c r="V48" s="63">
        <f t="shared" si="10"/>
        <v>3500</v>
      </c>
      <c r="W48" s="32"/>
      <c r="X48" s="37"/>
      <c r="Y48" s="31">
        <v>0</v>
      </c>
      <c r="Z48" s="31">
        <v>0</v>
      </c>
      <c r="AA48" s="31">
        <v>0</v>
      </c>
      <c r="AB48" s="31">
        <v>0</v>
      </c>
      <c r="AC48" s="45">
        <f>V48*(1-AB48-X48)</f>
        <v>3500</v>
      </c>
    </row>
    <row r="49" spans="1:29" x14ac:dyDescent="0.35">
      <c r="A49" s="29" t="s">
        <v>40</v>
      </c>
      <c r="B49" s="13">
        <v>5</v>
      </c>
      <c r="C49" s="34">
        <v>5000</v>
      </c>
      <c r="D49" s="34">
        <v>6000</v>
      </c>
      <c r="E49" s="34">
        <v>2000</v>
      </c>
      <c r="F49" s="34">
        <v>500</v>
      </c>
      <c r="G49" s="34">
        <v>1500</v>
      </c>
      <c r="H49" s="34">
        <v>1000</v>
      </c>
      <c r="I49" s="34">
        <v>5000</v>
      </c>
      <c r="J49" s="34">
        <f t="shared" si="8"/>
        <v>9000</v>
      </c>
      <c r="K49" s="34">
        <v>15000</v>
      </c>
      <c r="L49" s="34">
        <v>12000</v>
      </c>
      <c r="M49" s="34">
        <v>800</v>
      </c>
      <c r="N49" s="34">
        <v>800</v>
      </c>
      <c r="O49" s="23">
        <f t="shared" si="9"/>
        <v>16600</v>
      </c>
      <c r="P49" s="15">
        <v>1</v>
      </c>
      <c r="R49" s="31">
        <v>0.5</v>
      </c>
      <c r="S49" s="31">
        <v>0.5</v>
      </c>
      <c r="T49" s="31">
        <v>0.5</v>
      </c>
      <c r="U49" s="38">
        <f>O49*MIN(R49:T49)</f>
        <v>8300</v>
      </c>
      <c r="V49" s="63">
        <f t="shared" si="10"/>
        <v>3500</v>
      </c>
      <c r="W49" s="32"/>
      <c r="X49" s="37"/>
      <c r="Y49" s="31">
        <v>0</v>
      </c>
      <c r="Z49" s="31">
        <v>0</v>
      </c>
      <c r="AA49" s="31">
        <v>0</v>
      </c>
      <c r="AB49" s="31">
        <v>0</v>
      </c>
      <c r="AC49" s="45">
        <f>V49*(1-AB49-X49)</f>
        <v>3500</v>
      </c>
    </row>
    <row r="51" spans="1:29" x14ac:dyDescent="0.35">
      <c r="A51" s="65" t="s">
        <v>103</v>
      </c>
      <c r="B51" s="65"/>
      <c r="C51" s="65"/>
      <c r="D51" s="65"/>
      <c r="E51" s="65"/>
      <c r="F51" s="65"/>
      <c r="G51" s="65"/>
      <c r="H51" s="65"/>
      <c r="I51" s="65"/>
      <c r="J51" s="65"/>
      <c r="K51" s="65"/>
      <c r="L51" s="65"/>
      <c r="N51" s="65" t="s">
        <v>106</v>
      </c>
      <c r="O51" s="65"/>
      <c r="P51" s="65"/>
      <c r="Q51" s="65"/>
      <c r="R51" s="65"/>
      <c r="S51" s="65"/>
      <c r="T51" s="65"/>
      <c r="U51" s="65"/>
      <c r="V51" s="65"/>
      <c r="W51" s="65"/>
      <c r="X51" s="65"/>
      <c r="Y51" s="65"/>
      <c r="Z51" s="65"/>
      <c r="AA51" s="65"/>
    </row>
    <row r="52" spans="1:29" x14ac:dyDescent="0.35">
      <c r="A52" s="76" t="s">
        <v>109</v>
      </c>
      <c r="B52" s="75"/>
    </row>
    <row r="53" spans="1:29" ht="14.5" customHeight="1" x14ac:dyDescent="0.35">
      <c r="R53" s="77" t="s">
        <v>5</v>
      </c>
      <c r="S53" s="77"/>
      <c r="T53" s="77"/>
      <c r="U53" s="77"/>
      <c r="V53" s="78" t="s">
        <v>67</v>
      </c>
      <c r="W53" s="25"/>
      <c r="X53" s="25"/>
      <c r="Y53" s="25"/>
      <c r="Z53" s="25"/>
      <c r="AA53" s="25"/>
      <c r="AB53" s="25"/>
    </row>
    <row r="54" spans="1:29" ht="14.5" customHeight="1" x14ac:dyDescent="0.35">
      <c r="C54" s="77" t="s">
        <v>3</v>
      </c>
      <c r="D54" s="77"/>
      <c r="E54" s="77"/>
      <c r="F54" s="77"/>
      <c r="G54" s="77"/>
      <c r="H54" s="77"/>
      <c r="I54" s="77"/>
      <c r="J54" s="77"/>
      <c r="K54" s="77"/>
      <c r="L54" s="77"/>
      <c r="M54" s="77"/>
      <c r="N54" s="77"/>
      <c r="O54" s="77"/>
      <c r="R54" s="82" t="s">
        <v>25</v>
      </c>
      <c r="S54" s="82"/>
      <c r="T54" s="82"/>
      <c r="U54" s="86" t="s">
        <v>48</v>
      </c>
      <c r="V54" s="78"/>
      <c r="W54" s="83" t="s">
        <v>26</v>
      </c>
      <c r="X54" s="83"/>
      <c r="Y54" s="83"/>
      <c r="Z54" s="83"/>
      <c r="AA54" s="83"/>
      <c r="AB54" s="83"/>
      <c r="AC54" s="78" t="s">
        <v>49</v>
      </c>
    </row>
    <row r="55" spans="1:29" s="36" customFormat="1" ht="30" customHeight="1" x14ac:dyDescent="0.35">
      <c r="C55" s="82" t="s">
        <v>9</v>
      </c>
      <c r="D55" s="82"/>
      <c r="E55" s="82"/>
      <c r="F55" s="82"/>
      <c r="G55" s="82"/>
      <c r="H55" s="83" t="s">
        <v>23</v>
      </c>
      <c r="I55" s="83"/>
      <c r="J55" s="83"/>
      <c r="K55" s="83"/>
      <c r="L55" s="83"/>
      <c r="M55" s="85" t="s">
        <v>12</v>
      </c>
      <c r="N55" s="85"/>
      <c r="O55" s="81" t="s">
        <v>7</v>
      </c>
      <c r="R55" s="82"/>
      <c r="S55" s="82"/>
      <c r="T55" s="82"/>
      <c r="U55" s="86"/>
      <c r="V55" s="78"/>
      <c r="W55" s="26" t="s">
        <v>27</v>
      </c>
      <c r="X55" s="26"/>
      <c r="Y55" s="84" t="s">
        <v>45</v>
      </c>
      <c r="Z55" s="84"/>
      <c r="AA55" s="84"/>
      <c r="AB55" s="84"/>
      <c r="AC55" s="78"/>
    </row>
    <row r="56" spans="1:29" s="36" customFormat="1" ht="85.5" customHeight="1" x14ac:dyDescent="0.35">
      <c r="A56" s="20" t="s">
        <v>29</v>
      </c>
      <c r="B56" s="35" t="s">
        <v>44</v>
      </c>
      <c r="C56" s="24" t="s">
        <v>0</v>
      </c>
      <c r="D56" s="24" t="s">
        <v>1</v>
      </c>
      <c r="E56" s="24" t="s">
        <v>18</v>
      </c>
      <c r="F56" s="24" t="s">
        <v>2</v>
      </c>
      <c r="G56" s="24" t="s">
        <v>21</v>
      </c>
      <c r="H56" s="6" t="s">
        <v>10</v>
      </c>
      <c r="I56" s="6" t="s">
        <v>11</v>
      </c>
      <c r="J56" s="6" t="s">
        <v>15</v>
      </c>
      <c r="K56" s="6" t="s">
        <v>16</v>
      </c>
      <c r="L56" s="6" t="s">
        <v>17</v>
      </c>
      <c r="M56" s="28" t="s">
        <v>13</v>
      </c>
      <c r="N56" s="28" t="s">
        <v>14</v>
      </c>
      <c r="O56" s="81"/>
      <c r="P56" s="14" t="s">
        <v>24</v>
      </c>
      <c r="Q56" s="1"/>
      <c r="R56" s="42" t="s">
        <v>33</v>
      </c>
      <c r="S56" s="42" t="s">
        <v>47</v>
      </c>
      <c r="T56" s="42" t="s">
        <v>46</v>
      </c>
      <c r="U56" s="87"/>
      <c r="V56" s="78"/>
      <c r="W56" s="16" t="s">
        <v>19</v>
      </c>
      <c r="X56" s="26" t="s">
        <v>20</v>
      </c>
      <c r="Y56" s="27" t="s">
        <v>31</v>
      </c>
      <c r="Z56" s="27" t="s">
        <v>32</v>
      </c>
      <c r="AA56" s="21" t="s">
        <v>30</v>
      </c>
      <c r="AB56" s="44" t="s">
        <v>57</v>
      </c>
      <c r="AC56" s="80"/>
    </row>
    <row r="57" spans="1:29" ht="52" x14ac:dyDescent="0.35">
      <c r="A57" s="29" t="s">
        <v>36</v>
      </c>
      <c r="B57" s="8">
        <v>1</v>
      </c>
      <c r="C57" s="34">
        <v>5000</v>
      </c>
      <c r="D57" s="34">
        <v>6000</v>
      </c>
      <c r="E57" s="34">
        <v>2000</v>
      </c>
      <c r="F57" s="34">
        <v>500</v>
      </c>
      <c r="G57" s="34">
        <v>1500</v>
      </c>
      <c r="H57" s="34">
        <v>1000</v>
      </c>
      <c r="I57" s="34">
        <v>5000</v>
      </c>
      <c r="J57" s="34">
        <f>C57+E57+F57+G57</f>
        <v>9000</v>
      </c>
      <c r="K57" s="34">
        <v>15000</v>
      </c>
      <c r="L57" s="34">
        <v>12000</v>
      </c>
      <c r="M57" s="34">
        <v>800</v>
      </c>
      <c r="N57" s="34">
        <v>800</v>
      </c>
      <c r="O57" s="23">
        <f>M57+N57+K57</f>
        <v>16600</v>
      </c>
      <c r="P57" s="15">
        <v>0</v>
      </c>
      <c r="R57" s="31">
        <v>1</v>
      </c>
      <c r="S57" s="31">
        <v>1</v>
      </c>
      <c r="T57" s="31">
        <v>1</v>
      </c>
      <c r="U57" s="38">
        <f>O57*MIN(R57:T57)</f>
        <v>16600</v>
      </c>
      <c r="V57" s="63">
        <f>IF(B57&gt;2, C57*MIN(R57:T57), C57*0.5*MIN(R57:T57))</f>
        <v>2500</v>
      </c>
      <c r="W57" s="32" t="s">
        <v>59</v>
      </c>
      <c r="X57" s="43">
        <v>0</v>
      </c>
      <c r="Y57" s="31">
        <v>0.3</v>
      </c>
      <c r="Z57" s="31">
        <v>0</v>
      </c>
      <c r="AA57" s="31">
        <v>0.3</v>
      </c>
      <c r="AB57" s="31">
        <v>0.3</v>
      </c>
      <c r="AC57" s="45">
        <f>V57*(1-AB57-X57)</f>
        <v>1750</v>
      </c>
    </row>
    <row r="58" spans="1:29" ht="63" x14ac:dyDescent="0.35">
      <c r="A58" s="29" t="s">
        <v>37</v>
      </c>
      <c r="B58" s="10">
        <v>2</v>
      </c>
      <c r="C58" s="34">
        <v>5000</v>
      </c>
      <c r="D58" s="34">
        <v>6000</v>
      </c>
      <c r="E58" s="34">
        <v>2000</v>
      </c>
      <c r="F58" s="34">
        <v>500</v>
      </c>
      <c r="G58" s="34">
        <v>1500</v>
      </c>
      <c r="H58" s="34">
        <v>1000</v>
      </c>
      <c r="I58" s="34">
        <v>5000</v>
      </c>
      <c r="J58" s="34">
        <f t="shared" ref="J58:J61" si="11">C58+E58+F58+G58</f>
        <v>9000</v>
      </c>
      <c r="K58" s="34">
        <v>15000</v>
      </c>
      <c r="L58" s="34">
        <v>12000</v>
      </c>
      <c r="M58" s="34">
        <v>800</v>
      </c>
      <c r="N58" s="34">
        <v>800</v>
      </c>
      <c r="O58" s="23">
        <f t="shared" ref="O58:O61" si="12">M58+N58+K58</f>
        <v>16600</v>
      </c>
      <c r="P58" s="15">
        <v>1</v>
      </c>
      <c r="R58" s="31">
        <v>1</v>
      </c>
      <c r="S58" s="31">
        <v>0.6</v>
      </c>
      <c r="T58" s="31">
        <v>1</v>
      </c>
      <c r="U58" s="38">
        <f>O58*MIN(R58:T58)</f>
        <v>9960</v>
      </c>
      <c r="V58" s="63">
        <f t="shared" ref="V58:V61" si="13">IF(B58&gt;2, C58*MIN(R58:T58), C58*0.5*MIN(R58:T58))</f>
        <v>1500</v>
      </c>
      <c r="W58" s="33" t="s">
        <v>60</v>
      </c>
      <c r="X58" s="43"/>
      <c r="Y58" s="31">
        <v>0.2</v>
      </c>
      <c r="Z58" s="31">
        <v>0</v>
      </c>
      <c r="AA58" s="31">
        <v>0.2</v>
      </c>
      <c r="AB58" s="31">
        <v>0.2</v>
      </c>
      <c r="AC58" s="45">
        <f>V58*(1-AB58-X58)</f>
        <v>1200</v>
      </c>
    </row>
    <row r="59" spans="1:29" x14ac:dyDescent="0.35">
      <c r="A59" s="29" t="s">
        <v>38</v>
      </c>
      <c r="B59" s="11">
        <v>3</v>
      </c>
      <c r="C59" s="34">
        <v>5000</v>
      </c>
      <c r="D59" s="34">
        <v>6000</v>
      </c>
      <c r="E59" s="34">
        <v>2000</v>
      </c>
      <c r="F59" s="34">
        <v>500</v>
      </c>
      <c r="G59" s="34">
        <v>1500</v>
      </c>
      <c r="H59" s="34">
        <v>1000</v>
      </c>
      <c r="I59" s="34">
        <v>5000</v>
      </c>
      <c r="J59" s="34">
        <f t="shared" si="11"/>
        <v>9000</v>
      </c>
      <c r="K59" s="34">
        <v>15000</v>
      </c>
      <c r="L59" s="34">
        <v>12000</v>
      </c>
      <c r="M59" s="34">
        <v>800</v>
      </c>
      <c r="N59" s="34">
        <v>800</v>
      </c>
      <c r="O59" s="23">
        <f t="shared" si="12"/>
        <v>16600</v>
      </c>
      <c r="P59" s="15">
        <v>1</v>
      </c>
      <c r="R59" s="31">
        <v>0.5</v>
      </c>
      <c r="S59" s="31">
        <v>1</v>
      </c>
      <c r="T59" s="31">
        <v>1</v>
      </c>
      <c r="U59" s="38">
        <f>O59*MIN(R59:T59)</f>
        <v>8300</v>
      </c>
      <c r="V59" s="63">
        <f t="shared" si="13"/>
        <v>2500</v>
      </c>
      <c r="W59" s="32"/>
      <c r="X59" s="37"/>
      <c r="Y59" s="31">
        <v>0.1</v>
      </c>
      <c r="Z59" s="31">
        <v>0</v>
      </c>
      <c r="AA59" s="31">
        <v>0.1</v>
      </c>
      <c r="AB59" s="31">
        <v>0.1</v>
      </c>
      <c r="AC59" s="45">
        <f>V59*(1-AB59-X59)</f>
        <v>2250</v>
      </c>
    </row>
    <row r="60" spans="1:29" x14ac:dyDescent="0.35">
      <c r="A60" s="29" t="s">
        <v>39</v>
      </c>
      <c r="B60" s="12">
        <v>4</v>
      </c>
      <c r="C60" s="34">
        <v>5000</v>
      </c>
      <c r="D60" s="34">
        <v>6000</v>
      </c>
      <c r="E60" s="34">
        <v>2000</v>
      </c>
      <c r="F60" s="34">
        <v>500</v>
      </c>
      <c r="G60" s="34">
        <v>1500</v>
      </c>
      <c r="H60" s="34">
        <v>1000</v>
      </c>
      <c r="I60" s="34">
        <v>5000</v>
      </c>
      <c r="J60" s="34">
        <f t="shared" si="11"/>
        <v>9000</v>
      </c>
      <c r="K60" s="34">
        <v>15000</v>
      </c>
      <c r="L60" s="34">
        <v>12000</v>
      </c>
      <c r="M60" s="34">
        <v>800</v>
      </c>
      <c r="N60" s="34">
        <v>800</v>
      </c>
      <c r="O60" s="23">
        <f t="shared" si="12"/>
        <v>16600</v>
      </c>
      <c r="P60" s="15">
        <v>1</v>
      </c>
      <c r="R60" s="31">
        <v>1</v>
      </c>
      <c r="S60" s="31">
        <v>0.5</v>
      </c>
      <c r="T60" s="31">
        <v>0.5</v>
      </c>
      <c r="U60" s="38">
        <f>O60*MIN(R60:T60)</f>
        <v>8300</v>
      </c>
      <c r="V60" s="63">
        <f t="shared" si="13"/>
        <v>2500</v>
      </c>
      <c r="W60" s="32"/>
      <c r="X60" s="37"/>
      <c r="Y60" s="31">
        <v>0</v>
      </c>
      <c r="Z60" s="31">
        <v>0</v>
      </c>
      <c r="AA60" s="31">
        <v>0</v>
      </c>
      <c r="AB60" s="31">
        <v>0</v>
      </c>
      <c r="AC60" s="45">
        <f>V60*(1-AB60-X60)</f>
        <v>2500</v>
      </c>
    </row>
    <row r="61" spans="1:29" x14ac:dyDescent="0.35">
      <c r="A61" s="29" t="s">
        <v>40</v>
      </c>
      <c r="B61" s="13">
        <v>5</v>
      </c>
      <c r="C61" s="34">
        <v>5000</v>
      </c>
      <c r="D61" s="34">
        <v>6000</v>
      </c>
      <c r="E61" s="34">
        <v>2000</v>
      </c>
      <c r="F61" s="34">
        <v>500</v>
      </c>
      <c r="G61" s="34">
        <v>1500</v>
      </c>
      <c r="H61" s="34">
        <v>1000</v>
      </c>
      <c r="I61" s="34">
        <v>5000</v>
      </c>
      <c r="J61" s="34">
        <f t="shared" si="11"/>
        <v>9000</v>
      </c>
      <c r="K61" s="34">
        <v>15000</v>
      </c>
      <c r="L61" s="34">
        <v>12000</v>
      </c>
      <c r="M61" s="34">
        <v>800</v>
      </c>
      <c r="N61" s="34">
        <v>800</v>
      </c>
      <c r="O61" s="23">
        <f t="shared" si="12"/>
        <v>16600</v>
      </c>
      <c r="P61" s="15">
        <v>1</v>
      </c>
      <c r="R61" s="31">
        <v>0.5</v>
      </c>
      <c r="S61" s="31">
        <v>0.5</v>
      </c>
      <c r="T61" s="31">
        <v>0.5</v>
      </c>
      <c r="U61" s="38">
        <f>O61*MIN(R61:T61)</f>
        <v>8300</v>
      </c>
      <c r="V61" s="63">
        <f t="shared" si="13"/>
        <v>2500</v>
      </c>
      <c r="W61" s="32"/>
      <c r="X61" s="37"/>
      <c r="Y61" s="31">
        <v>0</v>
      </c>
      <c r="Z61" s="31">
        <v>0</v>
      </c>
      <c r="AA61" s="31">
        <v>0</v>
      </c>
      <c r="AB61" s="31">
        <v>0</v>
      </c>
      <c r="AC61" s="45">
        <f>V61*(1-AB61-X61)</f>
        <v>2500</v>
      </c>
    </row>
  </sheetData>
  <mergeCells count="61">
    <mergeCell ref="W54:AB54"/>
    <mergeCell ref="AC54:AC56"/>
    <mergeCell ref="C55:G55"/>
    <mergeCell ref="H55:L55"/>
    <mergeCell ref="M55:N55"/>
    <mergeCell ref="O55:O56"/>
    <mergeCell ref="Y55:AB55"/>
    <mergeCell ref="R53:U53"/>
    <mergeCell ref="V53:V56"/>
    <mergeCell ref="C54:O54"/>
    <mergeCell ref="R54:T55"/>
    <mergeCell ref="U54:U56"/>
    <mergeCell ref="W42:AB42"/>
    <mergeCell ref="AC42:AC44"/>
    <mergeCell ref="C43:G43"/>
    <mergeCell ref="H43:L43"/>
    <mergeCell ref="M43:N43"/>
    <mergeCell ref="O43:O44"/>
    <mergeCell ref="Y43:AB43"/>
    <mergeCell ref="R41:U41"/>
    <mergeCell ref="V41:V44"/>
    <mergeCell ref="C42:O42"/>
    <mergeCell ref="R42:T43"/>
    <mergeCell ref="U42:U44"/>
    <mergeCell ref="W29:AB29"/>
    <mergeCell ref="AC29:AC31"/>
    <mergeCell ref="C30:G30"/>
    <mergeCell ref="H30:L30"/>
    <mergeCell ref="M30:N30"/>
    <mergeCell ref="O30:O31"/>
    <mergeCell ref="Y30:AB30"/>
    <mergeCell ref="R28:U28"/>
    <mergeCell ref="V28:V31"/>
    <mergeCell ref="C29:O29"/>
    <mergeCell ref="R29:T30"/>
    <mergeCell ref="U29:U31"/>
    <mergeCell ref="W16:AB16"/>
    <mergeCell ref="AC16:AC18"/>
    <mergeCell ref="C17:G17"/>
    <mergeCell ref="H17:L17"/>
    <mergeCell ref="M17:N17"/>
    <mergeCell ref="O17:O18"/>
    <mergeCell ref="Y17:AB17"/>
    <mergeCell ref="R15:U15"/>
    <mergeCell ref="V15:V18"/>
    <mergeCell ref="C16:O16"/>
    <mergeCell ref="R16:T17"/>
    <mergeCell ref="U16:U18"/>
    <mergeCell ref="R2:U2"/>
    <mergeCell ref="V2:V5"/>
    <mergeCell ref="E1:P1"/>
    <mergeCell ref="AC3:AC5"/>
    <mergeCell ref="O4:O5"/>
    <mergeCell ref="R3:T4"/>
    <mergeCell ref="W3:AB3"/>
    <mergeCell ref="Y4:AB4"/>
    <mergeCell ref="C3:O3"/>
    <mergeCell ref="C4:G4"/>
    <mergeCell ref="H4:L4"/>
    <mergeCell ref="M4:N4"/>
    <mergeCell ref="U3:U5"/>
  </mergeCells>
  <phoneticPr fontId="1" type="noConversion"/>
  <hyperlinks>
    <hyperlink ref="A52" location="Prioritization_options" display="Back to prioritization options list" xr:uid="{795FF713-6CA4-4DD6-A543-0D90FED87114}"/>
    <hyperlink ref="A40" location="Prioritization_options" display="Back to prioritization options list" xr:uid="{9A3C09E0-864F-4844-9448-CB771BAF6EF6}"/>
    <hyperlink ref="A27" location="Prioritization_options" display="Back to prioritization options list" xr:uid="{8C75B099-C3F1-4124-A11A-BB10E852D2A3}"/>
    <hyperlink ref="A14" location="Prioritization_options" display="Back to prioritization options list" xr:uid="{982C90DF-C362-4F80-A9BC-04C4F36B7517}"/>
    <hyperlink ref="A2" location="Prioritization_options" display="Back to prioritization options list" xr:uid="{71792021-AB66-40B1-B69F-949BE4CE162A}"/>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8AAB2-6445-4222-891C-4BEB4B2D3186}">
  <dimension ref="A1:AE63"/>
  <sheetViews>
    <sheetView tabSelected="1" zoomScaleNormal="100" workbookViewId="0">
      <selection activeCell="Q12" sqref="A12:Q12"/>
    </sheetView>
  </sheetViews>
  <sheetFormatPr defaultRowHeight="14.5" x14ac:dyDescent="0.35"/>
  <cols>
    <col min="1" max="1" width="19" style="1" customWidth="1"/>
    <col min="2" max="2" width="7.7265625" style="1" customWidth="1"/>
    <col min="3" max="12" width="5.54296875" style="1" customWidth="1"/>
    <col min="13" max="14" width="6.6328125" style="1" customWidth="1"/>
    <col min="15" max="15" width="8.1796875" style="1" customWidth="1"/>
    <col min="16" max="16" width="5.54296875" style="1" customWidth="1"/>
    <col min="17" max="17" width="8.54296875" style="1" customWidth="1"/>
    <col min="18" max="18" width="13.81640625" style="1" customWidth="1"/>
    <col min="19" max="19" width="11.6328125" style="1" customWidth="1"/>
    <col min="20" max="22" width="16" style="1" customWidth="1"/>
    <col min="23" max="23" width="18.08984375" style="2" customWidth="1"/>
    <col min="24" max="27" width="15" style="1" customWidth="1"/>
    <col min="28" max="28" width="13.1796875" style="1" customWidth="1"/>
    <col min="29" max="29" width="17.90625" style="1" customWidth="1"/>
    <col min="30" max="16384" width="8.7265625" style="1"/>
  </cols>
  <sheetData>
    <row r="1" spans="1:29" ht="29" customHeight="1" x14ac:dyDescent="0.35">
      <c r="A1" s="60" t="s">
        <v>69</v>
      </c>
      <c r="B1" s="60"/>
      <c r="C1" s="60"/>
      <c r="E1" s="79" t="s">
        <v>89</v>
      </c>
      <c r="F1" s="79"/>
      <c r="G1" s="79"/>
      <c r="H1" s="79"/>
      <c r="I1" s="79"/>
      <c r="J1" s="79"/>
      <c r="K1" s="79"/>
      <c r="L1" s="79"/>
      <c r="M1" s="79"/>
      <c r="N1" s="79"/>
      <c r="O1" s="79"/>
      <c r="P1" s="79"/>
      <c r="W1" s="36"/>
    </row>
    <row r="2" spans="1:29" x14ac:dyDescent="0.35">
      <c r="A2" s="76" t="s">
        <v>109</v>
      </c>
      <c r="B2" s="75"/>
      <c r="W2" s="3"/>
      <c r="X2" s="4"/>
      <c r="Y2" s="4"/>
      <c r="Z2" s="4"/>
      <c r="AA2" s="4"/>
    </row>
    <row r="3" spans="1:29" x14ac:dyDescent="0.35">
      <c r="C3" s="77" t="s">
        <v>3</v>
      </c>
      <c r="D3" s="77"/>
      <c r="E3" s="77"/>
      <c r="F3" s="77"/>
      <c r="G3" s="77"/>
      <c r="H3" s="77"/>
      <c r="I3" s="77"/>
      <c r="J3" s="77"/>
      <c r="K3" s="77"/>
      <c r="L3" s="77"/>
      <c r="M3" s="77"/>
      <c r="N3" s="77"/>
      <c r="O3" s="77"/>
      <c r="R3" s="77" t="s">
        <v>5</v>
      </c>
      <c r="S3" s="77"/>
      <c r="T3" s="77"/>
      <c r="U3" s="77"/>
      <c r="V3" s="77"/>
      <c r="W3" s="77"/>
      <c r="X3" s="77"/>
      <c r="Y3" s="77"/>
      <c r="Z3" s="77"/>
      <c r="AA3" s="77"/>
      <c r="AB3" s="77"/>
    </row>
    <row r="4" spans="1:29" s="2" customFormat="1" ht="30" customHeight="1" x14ac:dyDescent="0.35">
      <c r="C4" s="82" t="s">
        <v>22</v>
      </c>
      <c r="D4" s="82"/>
      <c r="E4" s="82"/>
      <c r="F4" s="82"/>
      <c r="G4" s="82"/>
      <c r="H4" s="82"/>
      <c r="I4" s="82"/>
      <c r="J4" s="82"/>
      <c r="K4" s="82"/>
      <c r="L4" s="82"/>
      <c r="M4" s="85" t="s">
        <v>12</v>
      </c>
      <c r="N4" s="85"/>
      <c r="O4" s="81" t="s">
        <v>7</v>
      </c>
      <c r="R4" s="82" t="s">
        <v>25</v>
      </c>
      <c r="S4" s="82"/>
      <c r="T4" s="82"/>
      <c r="U4" s="89" t="s">
        <v>48</v>
      </c>
      <c r="V4" s="78" t="s">
        <v>90</v>
      </c>
      <c r="W4" s="83" t="s">
        <v>26</v>
      </c>
      <c r="X4" s="83"/>
      <c r="Y4" s="83"/>
      <c r="Z4" s="83"/>
      <c r="AA4" s="83"/>
      <c r="AB4" s="83"/>
      <c r="AC4" s="78" t="s">
        <v>49</v>
      </c>
    </row>
    <row r="5" spans="1:29" s="2" customFormat="1" ht="30" customHeight="1" x14ac:dyDescent="0.35">
      <c r="C5" s="88" t="s">
        <v>0</v>
      </c>
      <c r="D5" s="88"/>
      <c r="E5" s="88"/>
      <c r="F5" s="88"/>
      <c r="G5" s="88"/>
      <c r="H5" s="79" t="s">
        <v>1</v>
      </c>
      <c r="I5" s="79"/>
      <c r="J5" s="79"/>
      <c r="K5" s="79"/>
      <c r="L5" s="79"/>
      <c r="M5" s="92" t="s">
        <v>13</v>
      </c>
      <c r="N5" s="92" t="s">
        <v>14</v>
      </c>
      <c r="O5" s="81"/>
      <c r="R5" s="82"/>
      <c r="S5" s="82"/>
      <c r="T5" s="82"/>
      <c r="U5" s="89"/>
      <c r="V5" s="78"/>
      <c r="W5" s="91" t="s">
        <v>27</v>
      </c>
      <c r="X5" s="91"/>
      <c r="Y5" s="84" t="s">
        <v>6</v>
      </c>
      <c r="Z5" s="84"/>
      <c r="AA5" s="84"/>
      <c r="AB5" s="84"/>
      <c r="AC5" s="78"/>
    </row>
    <row r="6" spans="1:29" s="2" customFormat="1" ht="85.5" customHeight="1" x14ac:dyDescent="0.35">
      <c r="A6" s="20" t="s">
        <v>29</v>
      </c>
      <c r="B6" s="35" t="s">
        <v>44</v>
      </c>
      <c r="C6" s="8">
        <v>1</v>
      </c>
      <c r="D6" s="10">
        <v>2</v>
      </c>
      <c r="E6" s="11">
        <v>3</v>
      </c>
      <c r="F6" s="12">
        <v>4</v>
      </c>
      <c r="G6" s="13">
        <v>5</v>
      </c>
      <c r="H6" s="8">
        <v>1</v>
      </c>
      <c r="I6" s="10">
        <v>2</v>
      </c>
      <c r="J6" s="11">
        <v>3</v>
      </c>
      <c r="K6" s="12">
        <v>4</v>
      </c>
      <c r="L6" s="13">
        <v>5</v>
      </c>
      <c r="M6" s="92"/>
      <c r="N6" s="92"/>
      <c r="O6" s="81"/>
      <c r="P6" s="14" t="s">
        <v>24</v>
      </c>
      <c r="Q6" s="1"/>
      <c r="R6" s="18" t="s">
        <v>33</v>
      </c>
      <c r="S6" s="18" t="s">
        <v>4</v>
      </c>
      <c r="T6" s="18" t="s">
        <v>8</v>
      </c>
      <c r="U6" s="90"/>
      <c r="V6" s="80"/>
      <c r="W6" s="16" t="s">
        <v>28</v>
      </c>
      <c r="X6" s="17" t="s">
        <v>20</v>
      </c>
      <c r="Y6" s="19" t="s">
        <v>31</v>
      </c>
      <c r="Z6" s="19" t="s">
        <v>32</v>
      </c>
      <c r="AA6" s="21" t="s">
        <v>30</v>
      </c>
      <c r="AB6" s="44" t="s">
        <v>57</v>
      </c>
      <c r="AC6" s="80"/>
    </row>
    <row r="7" spans="1:29" ht="52" x14ac:dyDescent="0.35">
      <c r="A7" s="29" t="s">
        <v>36</v>
      </c>
      <c r="B7" s="8">
        <v>1</v>
      </c>
      <c r="C7" s="30">
        <f>10000*0.76</f>
        <v>7600</v>
      </c>
      <c r="D7" s="30">
        <f>10000*0.02</f>
        <v>200</v>
      </c>
      <c r="E7" s="30">
        <f>10000*0.02</f>
        <v>200</v>
      </c>
      <c r="F7" s="30">
        <f>10000*0.1</f>
        <v>1000</v>
      </c>
      <c r="G7" s="30">
        <f>10000*0.1</f>
        <v>1000</v>
      </c>
      <c r="H7" s="30">
        <f>10000*0.78</f>
        <v>7800</v>
      </c>
      <c r="I7" s="30">
        <f>10000*0.05</f>
        <v>500</v>
      </c>
      <c r="J7" s="30">
        <f>10000*0.02</f>
        <v>200</v>
      </c>
      <c r="K7" s="30">
        <f>10000*0.08</f>
        <v>800</v>
      </c>
      <c r="L7" s="30">
        <f>10000*0.07</f>
        <v>700.00000000000011</v>
      </c>
      <c r="M7" s="30">
        <v>800</v>
      </c>
      <c r="N7" s="30">
        <v>800</v>
      </c>
      <c r="O7" s="9">
        <f>SUM(E7:G7)+SUM(J7:L7)+M7+N7</f>
        <v>5500</v>
      </c>
      <c r="P7" s="15">
        <v>0</v>
      </c>
      <c r="R7" s="31">
        <v>1</v>
      </c>
      <c r="S7" s="31">
        <v>1</v>
      </c>
      <c r="T7" s="31">
        <v>1</v>
      </c>
      <c r="U7" s="38">
        <f>O7*MIN(R7:T7)</f>
        <v>5500</v>
      </c>
      <c r="V7" s="45">
        <f>U7*P7</f>
        <v>0</v>
      </c>
      <c r="W7" s="32" t="s">
        <v>59</v>
      </c>
      <c r="X7" s="43">
        <v>0</v>
      </c>
      <c r="Y7" s="31">
        <v>0.3</v>
      </c>
      <c r="Z7" s="31">
        <v>0</v>
      </c>
      <c r="AA7" s="31">
        <v>0.3</v>
      </c>
      <c r="AB7" s="31">
        <v>0.3</v>
      </c>
      <c r="AC7" s="45">
        <f>V7*(1-AB7-X7)</f>
        <v>0</v>
      </c>
    </row>
    <row r="8" spans="1:29" ht="63" x14ac:dyDescent="0.35">
      <c r="A8" s="29" t="s">
        <v>37</v>
      </c>
      <c r="B8" s="10">
        <v>2</v>
      </c>
      <c r="C8" s="30">
        <f>10000*0.7</f>
        <v>7000</v>
      </c>
      <c r="D8" s="30">
        <f>10000*0.1</f>
        <v>1000</v>
      </c>
      <c r="E8" s="30">
        <f>10000*0.05</f>
        <v>500</v>
      </c>
      <c r="F8" s="30">
        <f>10000*0.1</f>
        <v>1000</v>
      </c>
      <c r="G8" s="30">
        <f>10000*0.05</f>
        <v>500</v>
      </c>
      <c r="H8" s="30">
        <f>10000*0.72</f>
        <v>7200</v>
      </c>
      <c r="I8" s="30">
        <f>10000*0.09</f>
        <v>900</v>
      </c>
      <c r="J8" s="30">
        <f>10000*0.04</f>
        <v>400</v>
      </c>
      <c r="K8" s="30">
        <f>10000*0.1</f>
        <v>1000</v>
      </c>
      <c r="L8" s="30">
        <f>10000*0.05</f>
        <v>500</v>
      </c>
      <c r="M8" s="30">
        <v>800</v>
      </c>
      <c r="N8" s="30">
        <v>800</v>
      </c>
      <c r="O8" s="9">
        <f t="shared" ref="O8:O11" si="0">SUM(E8:G8)+SUM(J8:L8)+M8+N8</f>
        <v>5500</v>
      </c>
      <c r="P8" s="15">
        <v>1</v>
      </c>
      <c r="R8" s="31">
        <v>1</v>
      </c>
      <c r="S8" s="31">
        <v>0.6</v>
      </c>
      <c r="T8" s="31">
        <v>1</v>
      </c>
      <c r="U8" s="38">
        <f t="shared" ref="U8:U11" si="1">O8*MIN(R8:T8)</f>
        <v>3300</v>
      </c>
      <c r="V8" s="45">
        <f>U8*P8</f>
        <v>3300</v>
      </c>
      <c r="W8" s="33" t="s">
        <v>60</v>
      </c>
      <c r="X8" s="43"/>
      <c r="Y8" s="31">
        <v>0.2</v>
      </c>
      <c r="Z8" s="31">
        <v>0</v>
      </c>
      <c r="AA8" s="31">
        <v>0.2</v>
      </c>
      <c r="AB8" s="31">
        <v>0.2</v>
      </c>
      <c r="AC8" s="45">
        <f>V8*(1-AB8-X8)</f>
        <v>2640</v>
      </c>
    </row>
    <row r="9" spans="1:29" x14ac:dyDescent="0.35">
      <c r="A9" s="29" t="s">
        <v>38</v>
      </c>
      <c r="B9" s="11">
        <v>3</v>
      </c>
      <c r="C9" s="30">
        <f>10000*0.5</f>
        <v>5000</v>
      </c>
      <c r="D9" s="30">
        <f>10000*0.25</f>
        <v>2500</v>
      </c>
      <c r="E9" s="30">
        <f>10000*0.1</f>
        <v>1000</v>
      </c>
      <c r="F9" s="30">
        <f>10000*0.1</f>
        <v>1000</v>
      </c>
      <c r="G9" s="30">
        <f>10000*0.05</f>
        <v>500</v>
      </c>
      <c r="H9" s="30">
        <f>10000*0.48</f>
        <v>4800</v>
      </c>
      <c r="I9" s="30">
        <f>10000*0.25</f>
        <v>2500</v>
      </c>
      <c r="J9" s="30">
        <f>10000*0.12</f>
        <v>1200</v>
      </c>
      <c r="K9" s="30">
        <f>10000*0.1</f>
        <v>1000</v>
      </c>
      <c r="L9" s="30">
        <f>10000*0.05</f>
        <v>500</v>
      </c>
      <c r="M9" s="30">
        <v>800</v>
      </c>
      <c r="N9" s="30">
        <v>800</v>
      </c>
      <c r="O9" s="9">
        <f t="shared" si="0"/>
        <v>6800</v>
      </c>
      <c r="P9" s="15">
        <v>1</v>
      </c>
      <c r="R9" s="31">
        <v>0.5</v>
      </c>
      <c r="S9" s="31">
        <v>1</v>
      </c>
      <c r="T9" s="31">
        <v>1</v>
      </c>
      <c r="U9" s="38">
        <f t="shared" si="1"/>
        <v>3400</v>
      </c>
      <c r="V9" s="45">
        <f>U9*P9</f>
        <v>3400</v>
      </c>
      <c r="W9" s="32"/>
      <c r="X9" s="30"/>
      <c r="Y9" s="31">
        <v>0.1</v>
      </c>
      <c r="Z9" s="31">
        <v>0</v>
      </c>
      <c r="AA9" s="31">
        <v>0.1</v>
      </c>
      <c r="AB9" s="31">
        <v>0.1</v>
      </c>
      <c r="AC9" s="45">
        <f>V9*(1-AB9-X9)</f>
        <v>3060</v>
      </c>
    </row>
    <row r="10" spans="1:29" x14ac:dyDescent="0.35">
      <c r="A10" s="29" t="s">
        <v>39</v>
      </c>
      <c r="B10" s="12">
        <v>4</v>
      </c>
      <c r="C10" s="30">
        <f>10000*0.3</f>
        <v>3000</v>
      </c>
      <c r="D10" s="30">
        <f>10000*0.35</f>
        <v>3500</v>
      </c>
      <c r="E10" s="30">
        <f t="shared" ref="E10:E11" si="2">10000*0.1</f>
        <v>1000</v>
      </c>
      <c r="F10" s="30">
        <f>10000*0.15</f>
        <v>1500</v>
      </c>
      <c r="G10" s="30">
        <f>10000*0.1</f>
        <v>1000</v>
      </c>
      <c r="H10" s="30">
        <f>10000*0.4</f>
        <v>4000</v>
      </c>
      <c r="I10" s="30">
        <f>10000*0.24</f>
        <v>2400</v>
      </c>
      <c r="J10" s="30">
        <f t="shared" ref="J10:J11" si="3">10000*0.1</f>
        <v>1000</v>
      </c>
      <c r="K10" s="30">
        <f>10000*0.16</f>
        <v>1600</v>
      </c>
      <c r="L10" s="30">
        <f>10000*0.1</f>
        <v>1000</v>
      </c>
      <c r="M10" s="30">
        <v>800</v>
      </c>
      <c r="N10" s="30">
        <v>800</v>
      </c>
      <c r="O10" s="9">
        <f t="shared" si="0"/>
        <v>8700</v>
      </c>
      <c r="P10" s="15">
        <v>1</v>
      </c>
      <c r="R10" s="31">
        <v>1</v>
      </c>
      <c r="S10" s="31">
        <v>0.5</v>
      </c>
      <c r="T10" s="31">
        <v>0.5</v>
      </c>
      <c r="U10" s="38">
        <f t="shared" si="1"/>
        <v>4350</v>
      </c>
      <c r="V10" s="45">
        <f>U10*P10</f>
        <v>4350</v>
      </c>
      <c r="W10" s="32"/>
      <c r="X10" s="30"/>
      <c r="Y10" s="31">
        <v>0</v>
      </c>
      <c r="Z10" s="31">
        <v>0</v>
      </c>
      <c r="AA10" s="31">
        <v>0</v>
      </c>
      <c r="AB10" s="31">
        <v>0</v>
      </c>
      <c r="AC10" s="45">
        <f>V10*(1-AB10-X10)</f>
        <v>4350</v>
      </c>
    </row>
    <row r="11" spans="1:29" x14ac:dyDescent="0.35">
      <c r="A11" s="29" t="s">
        <v>40</v>
      </c>
      <c r="B11" s="13">
        <v>5</v>
      </c>
      <c r="C11" s="30">
        <f>10000*0.15</f>
        <v>1500</v>
      </c>
      <c r="D11" s="30">
        <f>10000*0.2</f>
        <v>2000</v>
      </c>
      <c r="E11" s="30">
        <f t="shared" si="2"/>
        <v>1000</v>
      </c>
      <c r="F11" s="30">
        <f>10000*0.25</f>
        <v>2500</v>
      </c>
      <c r="G11" s="30">
        <f>10000*0.3</f>
        <v>3000</v>
      </c>
      <c r="H11" s="30">
        <f>10000*0.15</f>
        <v>1500</v>
      </c>
      <c r="I11" s="30">
        <f>10000*0.25</f>
        <v>2500</v>
      </c>
      <c r="J11" s="30">
        <f t="shared" si="3"/>
        <v>1000</v>
      </c>
      <c r="K11" s="30">
        <f>10000*0.23</f>
        <v>2300</v>
      </c>
      <c r="L11" s="30">
        <f>10000*0.27</f>
        <v>2700</v>
      </c>
      <c r="M11" s="30">
        <v>800</v>
      </c>
      <c r="N11" s="30">
        <v>800</v>
      </c>
      <c r="O11" s="9">
        <f t="shared" si="0"/>
        <v>14100</v>
      </c>
      <c r="P11" s="15">
        <v>1</v>
      </c>
      <c r="R11" s="31">
        <v>0.5</v>
      </c>
      <c r="S11" s="31">
        <v>0.5</v>
      </c>
      <c r="T11" s="31">
        <v>0.5</v>
      </c>
      <c r="U11" s="38">
        <f t="shared" si="1"/>
        <v>7050</v>
      </c>
      <c r="V11" s="45">
        <f>U11*P11</f>
        <v>7050</v>
      </c>
      <c r="W11" s="32"/>
      <c r="X11" s="30"/>
      <c r="Y11" s="31">
        <v>0</v>
      </c>
      <c r="Z11" s="31">
        <v>0</v>
      </c>
      <c r="AA11" s="31">
        <v>0</v>
      </c>
      <c r="AB11" s="31">
        <v>0</v>
      </c>
      <c r="AC11" s="45">
        <f>V11*(1-AB11-X11)</f>
        <v>7050</v>
      </c>
    </row>
    <row r="14" spans="1:29" x14ac:dyDescent="0.35">
      <c r="A14" s="61" t="s">
        <v>94</v>
      </c>
      <c r="B14" s="61"/>
      <c r="C14" s="61"/>
      <c r="E14" s="61" t="s">
        <v>92</v>
      </c>
      <c r="F14" s="61"/>
      <c r="G14" s="61"/>
      <c r="H14" s="61"/>
      <c r="I14" s="61"/>
      <c r="J14" s="61"/>
      <c r="K14" s="61"/>
      <c r="L14" s="61"/>
      <c r="M14" s="61"/>
      <c r="N14" s="61"/>
      <c r="O14" s="61"/>
      <c r="P14" s="61"/>
      <c r="Q14" s="61"/>
      <c r="R14" s="61"/>
      <c r="S14" s="61"/>
      <c r="W14" s="36"/>
    </row>
    <row r="15" spans="1:29" x14ac:dyDescent="0.35">
      <c r="A15" s="76" t="s">
        <v>109</v>
      </c>
      <c r="B15" s="75"/>
    </row>
    <row r="16" spans="1:29" x14ac:dyDescent="0.35">
      <c r="C16" s="77" t="s">
        <v>3</v>
      </c>
      <c r="D16" s="77"/>
      <c r="E16" s="77"/>
      <c r="F16" s="77"/>
      <c r="G16" s="77"/>
      <c r="H16" s="77"/>
      <c r="I16" s="77"/>
      <c r="J16" s="77"/>
      <c r="K16" s="77"/>
      <c r="L16" s="77"/>
      <c r="M16" s="77"/>
      <c r="N16" s="77"/>
      <c r="O16" s="77"/>
      <c r="R16" s="77" t="s">
        <v>5</v>
      </c>
      <c r="S16" s="77"/>
      <c r="T16" s="77"/>
      <c r="U16" s="77"/>
      <c r="V16" s="77"/>
      <c r="W16" s="77"/>
      <c r="X16" s="77"/>
      <c r="Y16" s="77"/>
      <c r="Z16" s="77"/>
      <c r="AA16" s="77"/>
      <c r="AB16" s="77"/>
    </row>
    <row r="17" spans="1:29" s="36" customFormat="1" ht="30" customHeight="1" x14ac:dyDescent="0.35">
      <c r="C17" s="82" t="s">
        <v>22</v>
      </c>
      <c r="D17" s="82"/>
      <c r="E17" s="82"/>
      <c r="F17" s="82"/>
      <c r="G17" s="82"/>
      <c r="H17" s="82"/>
      <c r="I17" s="82"/>
      <c r="J17" s="82"/>
      <c r="K17" s="82"/>
      <c r="L17" s="82"/>
      <c r="M17" s="85" t="s">
        <v>12</v>
      </c>
      <c r="N17" s="85"/>
      <c r="O17" s="81" t="s">
        <v>7</v>
      </c>
      <c r="R17" s="82" t="s">
        <v>25</v>
      </c>
      <c r="S17" s="82"/>
      <c r="T17" s="82"/>
      <c r="U17" s="89" t="s">
        <v>48</v>
      </c>
      <c r="V17" s="78" t="s">
        <v>90</v>
      </c>
      <c r="W17" s="83" t="s">
        <v>26</v>
      </c>
      <c r="X17" s="83"/>
      <c r="Y17" s="83"/>
      <c r="Z17" s="83"/>
      <c r="AA17" s="83"/>
      <c r="AB17" s="83"/>
      <c r="AC17" s="78" t="s">
        <v>49</v>
      </c>
    </row>
    <row r="18" spans="1:29" s="36" customFormat="1" ht="30" customHeight="1" x14ac:dyDescent="0.35">
      <c r="C18" s="88" t="s">
        <v>0</v>
      </c>
      <c r="D18" s="88"/>
      <c r="E18" s="88"/>
      <c r="F18" s="88"/>
      <c r="G18" s="88"/>
      <c r="H18" s="79" t="s">
        <v>1</v>
      </c>
      <c r="I18" s="79"/>
      <c r="J18" s="79"/>
      <c r="K18" s="79"/>
      <c r="L18" s="79"/>
      <c r="M18" s="92" t="s">
        <v>13</v>
      </c>
      <c r="N18" s="92" t="s">
        <v>14</v>
      </c>
      <c r="O18" s="81"/>
      <c r="R18" s="82"/>
      <c r="S18" s="82"/>
      <c r="T18" s="82"/>
      <c r="U18" s="89"/>
      <c r="V18" s="78"/>
      <c r="W18" s="91" t="s">
        <v>27</v>
      </c>
      <c r="X18" s="91"/>
      <c r="Y18" s="84" t="s">
        <v>6</v>
      </c>
      <c r="Z18" s="84"/>
      <c r="AA18" s="84"/>
      <c r="AB18" s="84"/>
      <c r="AC18" s="78"/>
    </row>
    <row r="19" spans="1:29" s="36" customFormat="1" ht="85.5" customHeight="1" x14ac:dyDescent="0.35">
      <c r="A19" s="20" t="s">
        <v>29</v>
      </c>
      <c r="B19" s="35" t="s">
        <v>44</v>
      </c>
      <c r="C19" s="8">
        <v>1</v>
      </c>
      <c r="D19" s="10">
        <v>2</v>
      </c>
      <c r="E19" s="11">
        <v>3</v>
      </c>
      <c r="F19" s="12">
        <v>4</v>
      </c>
      <c r="G19" s="13">
        <v>5</v>
      </c>
      <c r="H19" s="8">
        <v>1</v>
      </c>
      <c r="I19" s="10">
        <v>2</v>
      </c>
      <c r="J19" s="11">
        <v>3</v>
      </c>
      <c r="K19" s="12">
        <v>4</v>
      </c>
      <c r="L19" s="13">
        <v>5</v>
      </c>
      <c r="M19" s="92"/>
      <c r="N19" s="92"/>
      <c r="O19" s="81"/>
      <c r="P19" s="14" t="s">
        <v>24</v>
      </c>
      <c r="Q19" s="1"/>
      <c r="R19" s="42" t="s">
        <v>33</v>
      </c>
      <c r="S19" s="42" t="s">
        <v>4</v>
      </c>
      <c r="T19" s="42" t="s">
        <v>8</v>
      </c>
      <c r="U19" s="90"/>
      <c r="V19" s="80"/>
      <c r="W19" s="16" t="s">
        <v>28</v>
      </c>
      <c r="X19" s="26" t="s">
        <v>20</v>
      </c>
      <c r="Y19" s="27" t="s">
        <v>31</v>
      </c>
      <c r="Z19" s="27" t="s">
        <v>32</v>
      </c>
      <c r="AA19" s="21" t="s">
        <v>30</v>
      </c>
      <c r="AB19" s="44" t="s">
        <v>57</v>
      </c>
      <c r="AC19" s="80"/>
    </row>
    <row r="20" spans="1:29" ht="52" x14ac:dyDescent="0.35">
      <c r="A20" s="29" t="s">
        <v>36</v>
      </c>
      <c r="B20" s="8">
        <v>1</v>
      </c>
      <c r="C20" s="30">
        <f>10000*0.76</f>
        <v>7600</v>
      </c>
      <c r="D20" s="30">
        <f>10000*0.02</f>
        <v>200</v>
      </c>
      <c r="E20" s="30">
        <f>10000*0.02</f>
        <v>200</v>
      </c>
      <c r="F20" s="30">
        <f>10000*0.1</f>
        <v>1000</v>
      </c>
      <c r="G20" s="30">
        <f>10000*0.1</f>
        <v>1000</v>
      </c>
      <c r="H20" s="30">
        <f>10000*0.78</f>
        <v>7800</v>
      </c>
      <c r="I20" s="30">
        <f>10000*0.05</f>
        <v>500</v>
      </c>
      <c r="J20" s="30">
        <f>10000*0.02</f>
        <v>200</v>
      </c>
      <c r="K20" s="30">
        <f>10000*0.08</f>
        <v>800</v>
      </c>
      <c r="L20" s="30">
        <f>10000*0.07</f>
        <v>700.00000000000011</v>
      </c>
      <c r="M20" s="30">
        <v>800</v>
      </c>
      <c r="N20" s="30">
        <v>800</v>
      </c>
      <c r="O20" s="9">
        <f>SUM(E20:G20)+SUM(J20:L20)+M20+N20</f>
        <v>5500</v>
      </c>
      <c r="P20" s="15">
        <v>0</v>
      </c>
      <c r="R20" s="31">
        <v>1</v>
      </c>
      <c r="S20" s="31">
        <v>1</v>
      </c>
      <c r="T20" s="31">
        <v>1</v>
      </c>
      <c r="U20" s="38">
        <f>O20*MIN(R20:T20)</f>
        <v>5500</v>
      </c>
      <c r="V20" s="45">
        <f>IF(B20&gt;2,U20,0)</f>
        <v>0</v>
      </c>
      <c r="W20" s="32" t="s">
        <v>59</v>
      </c>
      <c r="X20" s="43">
        <v>0</v>
      </c>
      <c r="Y20" s="31">
        <v>0.3</v>
      </c>
      <c r="Z20" s="31">
        <v>0</v>
      </c>
      <c r="AA20" s="31">
        <v>0.3</v>
      </c>
      <c r="AB20" s="31">
        <v>0.3</v>
      </c>
      <c r="AC20" s="45">
        <f>V20*(1-AB20-X20)</f>
        <v>0</v>
      </c>
    </row>
    <row r="21" spans="1:29" ht="63" x14ac:dyDescent="0.35">
      <c r="A21" s="29" t="s">
        <v>37</v>
      </c>
      <c r="B21" s="10">
        <v>2</v>
      </c>
      <c r="C21" s="30">
        <f>10000*0.7</f>
        <v>7000</v>
      </c>
      <c r="D21" s="30">
        <f>10000*0.1</f>
        <v>1000</v>
      </c>
      <c r="E21" s="30">
        <f>10000*0.05</f>
        <v>500</v>
      </c>
      <c r="F21" s="30">
        <f>10000*0.1</f>
        <v>1000</v>
      </c>
      <c r="G21" s="30">
        <f>10000*0.05</f>
        <v>500</v>
      </c>
      <c r="H21" s="30">
        <f>10000*0.72</f>
        <v>7200</v>
      </c>
      <c r="I21" s="30">
        <f>10000*0.09</f>
        <v>900</v>
      </c>
      <c r="J21" s="30">
        <f>10000*0.04</f>
        <v>400</v>
      </c>
      <c r="K21" s="30">
        <f>10000*0.1</f>
        <v>1000</v>
      </c>
      <c r="L21" s="30">
        <f>10000*0.05</f>
        <v>500</v>
      </c>
      <c r="M21" s="30">
        <v>800</v>
      </c>
      <c r="N21" s="30">
        <v>800</v>
      </c>
      <c r="O21" s="9">
        <f t="shared" ref="O21:O24" si="4">SUM(E21:G21)+SUM(J21:L21)+M21+N21</f>
        <v>5500</v>
      </c>
      <c r="P21" s="15">
        <v>1</v>
      </c>
      <c r="R21" s="31">
        <v>1</v>
      </c>
      <c r="S21" s="31">
        <v>0.6</v>
      </c>
      <c r="T21" s="31">
        <v>1</v>
      </c>
      <c r="U21" s="38">
        <f>O21*MIN(R21:T21)</f>
        <v>3300</v>
      </c>
      <c r="V21" s="45">
        <f t="shared" ref="V21:V24" si="5">IF(B21&gt;2,U21,0)</f>
        <v>0</v>
      </c>
      <c r="W21" s="33" t="s">
        <v>60</v>
      </c>
      <c r="X21" s="43"/>
      <c r="Y21" s="31">
        <v>0.2</v>
      </c>
      <c r="Z21" s="31">
        <v>0</v>
      </c>
      <c r="AA21" s="31">
        <v>0.2</v>
      </c>
      <c r="AB21" s="31">
        <v>0.2</v>
      </c>
      <c r="AC21" s="45">
        <f>V21*(1-AB21-X21)</f>
        <v>0</v>
      </c>
    </row>
    <row r="22" spans="1:29" x14ac:dyDescent="0.35">
      <c r="A22" s="29" t="s">
        <v>38</v>
      </c>
      <c r="B22" s="11">
        <v>3</v>
      </c>
      <c r="C22" s="30">
        <f>10000*0.5</f>
        <v>5000</v>
      </c>
      <c r="D22" s="30">
        <f>10000*0.25</f>
        <v>2500</v>
      </c>
      <c r="E22" s="30">
        <f>10000*0.1</f>
        <v>1000</v>
      </c>
      <c r="F22" s="30">
        <f>10000*0.1</f>
        <v>1000</v>
      </c>
      <c r="G22" s="30">
        <f>10000*0.05</f>
        <v>500</v>
      </c>
      <c r="H22" s="30">
        <f>10000*0.48</f>
        <v>4800</v>
      </c>
      <c r="I22" s="30">
        <f>10000*0.25</f>
        <v>2500</v>
      </c>
      <c r="J22" s="30">
        <f>10000*0.12</f>
        <v>1200</v>
      </c>
      <c r="K22" s="30">
        <f>10000*0.1</f>
        <v>1000</v>
      </c>
      <c r="L22" s="30">
        <f>10000*0.05</f>
        <v>500</v>
      </c>
      <c r="M22" s="30">
        <v>800</v>
      </c>
      <c r="N22" s="30">
        <v>800</v>
      </c>
      <c r="O22" s="9">
        <f t="shared" si="4"/>
        <v>6800</v>
      </c>
      <c r="P22" s="15">
        <v>1</v>
      </c>
      <c r="R22" s="31">
        <v>0.5</v>
      </c>
      <c r="S22" s="31">
        <v>1</v>
      </c>
      <c r="T22" s="31">
        <v>1</v>
      </c>
      <c r="U22" s="38">
        <f t="shared" ref="U21:U24" si="6">O22*MIN(R22:T22)</f>
        <v>3400</v>
      </c>
      <c r="V22" s="45">
        <f t="shared" si="5"/>
        <v>3400</v>
      </c>
      <c r="W22" s="32"/>
      <c r="X22" s="30"/>
      <c r="Y22" s="31">
        <v>0.1</v>
      </c>
      <c r="Z22" s="31">
        <v>0</v>
      </c>
      <c r="AA22" s="31">
        <v>0.1</v>
      </c>
      <c r="AB22" s="31">
        <v>0.1</v>
      </c>
      <c r="AC22" s="45">
        <f>V22*(1-AB22-X22)</f>
        <v>3060</v>
      </c>
    </row>
    <row r="23" spans="1:29" x14ac:dyDescent="0.35">
      <c r="A23" s="29" t="s">
        <v>39</v>
      </c>
      <c r="B23" s="12">
        <v>4</v>
      </c>
      <c r="C23" s="30">
        <f>10000*0.3</f>
        <v>3000</v>
      </c>
      <c r="D23" s="30">
        <f>10000*0.35</f>
        <v>3500</v>
      </c>
      <c r="E23" s="30">
        <f t="shared" ref="E23:E24" si="7">10000*0.1</f>
        <v>1000</v>
      </c>
      <c r="F23" s="30">
        <f>10000*0.15</f>
        <v>1500</v>
      </c>
      <c r="G23" s="30">
        <f>10000*0.1</f>
        <v>1000</v>
      </c>
      <c r="H23" s="30">
        <f>10000*0.4</f>
        <v>4000</v>
      </c>
      <c r="I23" s="30">
        <f>10000*0.24</f>
        <v>2400</v>
      </c>
      <c r="J23" s="30">
        <f t="shared" ref="J23:J24" si="8">10000*0.1</f>
        <v>1000</v>
      </c>
      <c r="K23" s="30">
        <f>10000*0.16</f>
        <v>1600</v>
      </c>
      <c r="L23" s="30">
        <f>10000*0.1</f>
        <v>1000</v>
      </c>
      <c r="M23" s="30">
        <v>800</v>
      </c>
      <c r="N23" s="30">
        <v>800</v>
      </c>
      <c r="O23" s="9">
        <f t="shared" si="4"/>
        <v>8700</v>
      </c>
      <c r="P23" s="15">
        <v>1</v>
      </c>
      <c r="R23" s="31">
        <v>1</v>
      </c>
      <c r="S23" s="31">
        <v>0.5</v>
      </c>
      <c r="T23" s="31">
        <v>0.5</v>
      </c>
      <c r="U23" s="38">
        <f t="shared" si="6"/>
        <v>4350</v>
      </c>
      <c r="V23" s="45">
        <f t="shared" si="5"/>
        <v>4350</v>
      </c>
      <c r="W23" s="32"/>
      <c r="X23" s="30"/>
      <c r="Y23" s="31">
        <v>0</v>
      </c>
      <c r="Z23" s="31">
        <v>0</v>
      </c>
      <c r="AA23" s="31">
        <v>0</v>
      </c>
      <c r="AB23" s="31">
        <v>0</v>
      </c>
      <c r="AC23" s="45">
        <f>V23*(1-AB23-X23)</f>
        <v>4350</v>
      </c>
    </row>
    <row r="24" spans="1:29" x14ac:dyDescent="0.35">
      <c r="A24" s="29" t="s">
        <v>40</v>
      </c>
      <c r="B24" s="13">
        <v>5</v>
      </c>
      <c r="C24" s="30">
        <f>10000*0.15</f>
        <v>1500</v>
      </c>
      <c r="D24" s="30">
        <f>10000*0.2</f>
        <v>2000</v>
      </c>
      <c r="E24" s="30">
        <f t="shared" si="7"/>
        <v>1000</v>
      </c>
      <c r="F24" s="30">
        <f>10000*0.25</f>
        <v>2500</v>
      </c>
      <c r="G24" s="30">
        <f>10000*0.3</f>
        <v>3000</v>
      </c>
      <c r="H24" s="30">
        <f>10000*0.15</f>
        <v>1500</v>
      </c>
      <c r="I24" s="30">
        <f>10000*0.25</f>
        <v>2500</v>
      </c>
      <c r="J24" s="30">
        <f t="shared" si="8"/>
        <v>1000</v>
      </c>
      <c r="K24" s="30">
        <f>10000*0.23</f>
        <v>2300</v>
      </c>
      <c r="L24" s="30">
        <f>10000*0.27</f>
        <v>2700</v>
      </c>
      <c r="M24" s="30">
        <v>800</v>
      </c>
      <c r="N24" s="30">
        <v>800</v>
      </c>
      <c r="O24" s="9">
        <f t="shared" si="4"/>
        <v>14100</v>
      </c>
      <c r="P24" s="15">
        <v>1</v>
      </c>
      <c r="R24" s="31">
        <v>0.5</v>
      </c>
      <c r="S24" s="31">
        <v>0.5</v>
      </c>
      <c r="T24" s="31">
        <v>0.5</v>
      </c>
      <c r="U24" s="38">
        <f t="shared" si="6"/>
        <v>7050</v>
      </c>
      <c r="V24" s="45">
        <f t="shared" si="5"/>
        <v>7050</v>
      </c>
      <c r="W24" s="32"/>
      <c r="X24" s="30"/>
      <c r="Y24" s="31">
        <v>0</v>
      </c>
      <c r="Z24" s="31">
        <v>0</v>
      </c>
      <c r="AA24" s="31">
        <v>0</v>
      </c>
      <c r="AB24" s="31">
        <v>0</v>
      </c>
      <c r="AC24" s="45">
        <f>V24*(1-AB24-X24)</f>
        <v>7050</v>
      </c>
    </row>
    <row r="27" spans="1:29" x14ac:dyDescent="0.35">
      <c r="A27" s="62" t="s">
        <v>98</v>
      </c>
      <c r="B27" s="62"/>
      <c r="C27" s="62"/>
      <c r="D27" s="62"/>
      <c r="F27" s="62" t="s">
        <v>99</v>
      </c>
      <c r="G27" s="62"/>
      <c r="H27" s="62"/>
      <c r="I27" s="62"/>
      <c r="J27" s="62"/>
      <c r="K27" s="62"/>
      <c r="L27" s="62"/>
      <c r="M27" s="62"/>
      <c r="N27" s="62"/>
      <c r="O27" s="62"/>
      <c r="P27" s="62"/>
      <c r="Q27" s="62"/>
      <c r="R27" s="62"/>
      <c r="S27" s="62"/>
      <c r="T27" s="62"/>
      <c r="U27" s="62"/>
      <c r="V27" s="62"/>
    </row>
    <row r="28" spans="1:29" x14ac:dyDescent="0.35">
      <c r="A28" s="76" t="s">
        <v>109</v>
      </c>
      <c r="B28" s="75"/>
    </row>
    <row r="29" spans="1:29" x14ac:dyDescent="0.35">
      <c r="C29" s="77" t="s">
        <v>3</v>
      </c>
      <c r="D29" s="77"/>
      <c r="E29" s="77"/>
      <c r="F29" s="77"/>
      <c r="G29" s="77"/>
      <c r="H29" s="77"/>
      <c r="I29" s="77"/>
      <c r="J29" s="77"/>
      <c r="K29" s="77"/>
      <c r="L29" s="77"/>
      <c r="M29" s="77"/>
      <c r="N29" s="77"/>
      <c r="O29" s="77"/>
      <c r="R29" s="77" t="s">
        <v>5</v>
      </c>
      <c r="S29" s="77"/>
      <c r="T29" s="77"/>
      <c r="U29" s="77"/>
      <c r="V29" s="77"/>
      <c r="W29" s="77"/>
      <c r="X29" s="77"/>
      <c r="Y29" s="77"/>
      <c r="Z29" s="77"/>
      <c r="AA29" s="77"/>
      <c r="AB29" s="77"/>
    </row>
    <row r="30" spans="1:29" s="36" customFormat="1" ht="30" customHeight="1" x14ac:dyDescent="0.35">
      <c r="C30" s="82" t="s">
        <v>22</v>
      </c>
      <c r="D30" s="82"/>
      <c r="E30" s="82"/>
      <c r="F30" s="82"/>
      <c r="G30" s="82"/>
      <c r="H30" s="82"/>
      <c r="I30" s="82"/>
      <c r="J30" s="82"/>
      <c r="K30" s="82"/>
      <c r="L30" s="82"/>
      <c r="M30" s="85" t="s">
        <v>12</v>
      </c>
      <c r="N30" s="85"/>
      <c r="O30" s="81" t="s">
        <v>7</v>
      </c>
      <c r="R30" s="82" t="s">
        <v>25</v>
      </c>
      <c r="S30" s="82"/>
      <c r="T30" s="82"/>
      <c r="U30" s="89" t="s">
        <v>48</v>
      </c>
      <c r="V30" s="78" t="s">
        <v>90</v>
      </c>
      <c r="W30" s="83" t="s">
        <v>26</v>
      </c>
      <c r="X30" s="83"/>
      <c r="Y30" s="83"/>
      <c r="Z30" s="83"/>
      <c r="AA30" s="83"/>
      <c r="AB30" s="83"/>
      <c r="AC30" s="78" t="s">
        <v>49</v>
      </c>
    </row>
    <row r="31" spans="1:29" s="36" customFormat="1" ht="30" customHeight="1" x14ac:dyDescent="0.35">
      <c r="C31" s="88" t="s">
        <v>0</v>
      </c>
      <c r="D31" s="88"/>
      <c r="E31" s="88"/>
      <c r="F31" s="88"/>
      <c r="G31" s="88"/>
      <c r="H31" s="79" t="s">
        <v>1</v>
      </c>
      <c r="I31" s="79"/>
      <c r="J31" s="79"/>
      <c r="K31" s="79"/>
      <c r="L31" s="79"/>
      <c r="M31" s="92" t="s">
        <v>13</v>
      </c>
      <c r="N31" s="92" t="s">
        <v>14</v>
      </c>
      <c r="O31" s="81"/>
      <c r="R31" s="82"/>
      <c r="S31" s="82"/>
      <c r="T31" s="82"/>
      <c r="U31" s="89"/>
      <c r="V31" s="78"/>
      <c r="W31" s="91" t="s">
        <v>27</v>
      </c>
      <c r="X31" s="91"/>
      <c r="Y31" s="84" t="s">
        <v>6</v>
      </c>
      <c r="Z31" s="84"/>
      <c r="AA31" s="84"/>
      <c r="AB31" s="84"/>
      <c r="AC31" s="78"/>
    </row>
    <row r="32" spans="1:29" s="36" customFormat="1" ht="85.5" customHeight="1" x14ac:dyDescent="0.35">
      <c r="A32" s="20" t="s">
        <v>29</v>
      </c>
      <c r="B32" s="35" t="s">
        <v>44</v>
      </c>
      <c r="C32" s="8">
        <v>1</v>
      </c>
      <c r="D32" s="10">
        <v>2</v>
      </c>
      <c r="E32" s="11">
        <v>3</v>
      </c>
      <c r="F32" s="12">
        <v>4</v>
      </c>
      <c r="G32" s="13">
        <v>5</v>
      </c>
      <c r="H32" s="8">
        <v>1</v>
      </c>
      <c r="I32" s="10">
        <v>2</v>
      </c>
      <c r="J32" s="11">
        <v>3</v>
      </c>
      <c r="K32" s="12">
        <v>4</v>
      </c>
      <c r="L32" s="13">
        <v>5</v>
      </c>
      <c r="M32" s="92"/>
      <c r="N32" s="92"/>
      <c r="O32" s="81"/>
      <c r="P32" s="14" t="s">
        <v>24</v>
      </c>
      <c r="Q32" s="1"/>
      <c r="R32" s="42" t="s">
        <v>33</v>
      </c>
      <c r="S32" s="42" t="s">
        <v>4</v>
      </c>
      <c r="T32" s="42" t="s">
        <v>8</v>
      </c>
      <c r="U32" s="90"/>
      <c r="V32" s="80"/>
      <c r="W32" s="16" t="s">
        <v>28</v>
      </c>
      <c r="X32" s="26" t="s">
        <v>20</v>
      </c>
      <c r="Y32" s="27" t="s">
        <v>31</v>
      </c>
      <c r="Z32" s="27" t="s">
        <v>32</v>
      </c>
      <c r="AA32" s="21" t="s">
        <v>30</v>
      </c>
      <c r="AB32" s="44" t="s">
        <v>57</v>
      </c>
      <c r="AC32" s="80"/>
    </row>
    <row r="33" spans="1:29" ht="52" x14ac:dyDescent="0.35">
      <c r="A33" s="29" t="s">
        <v>36</v>
      </c>
      <c r="B33" s="8">
        <v>1</v>
      </c>
      <c r="C33" s="30">
        <f>10000*0.76</f>
        <v>7600</v>
      </c>
      <c r="D33" s="30">
        <f>10000*0.02</f>
        <v>200</v>
      </c>
      <c r="E33" s="30">
        <f>10000*0.02</f>
        <v>200</v>
      </c>
      <c r="F33" s="30">
        <f>10000*0.1</f>
        <v>1000</v>
      </c>
      <c r="G33" s="30">
        <f>10000*0.1</f>
        <v>1000</v>
      </c>
      <c r="H33" s="30">
        <f>10000*0.78</f>
        <v>7800</v>
      </c>
      <c r="I33" s="30">
        <f>10000*0.05</f>
        <v>500</v>
      </c>
      <c r="J33" s="30">
        <f>10000*0.02</f>
        <v>200</v>
      </c>
      <c r="K33" s="30">
        <f>10000*0.08</f>
        <v>800</v>
      </c>
      <c r="L33" s="30">
        <f>10000*0.07</f>
        <v>700.00000000000011</v>
      </c>
      <c r="M33" s="30">
        <v>800</v>
      </c>
      <c r="N33" s="30">
        <v>800</v>
      </c>
      <c r="O33" s="9">
        <f>SUM(E33:G33)+SUM(J33:L33)+M33+N33</f>
        <v>5500</v>
      </c>
      <c r="P33" s="15">
        <v>0</v>
      </c>
      <c r="R33" s="31">
        <v>1</v>
      </c>
      <c r="S33" s="31">
        <v>1</v>
      </c>
      <c r="T33" s="31">
        <v>1</v>
      </c>
      <c r="U33" s="38">
        <f>O33*MIN(R33:T33)</f>
        <v>5500</v>
      </c>
      <c r="V33" s="45">
        <f>SUM(E33:G33)*MIN(R33:T33)</f>
        <v>2200</v>
      </c>
      <c r="W33" s="32" t="s">
        <v>59</v>
      </c>
      <c r="X33" s="43">
        <v>0</v>
      </c>
      <c r="Y33" s="31">
        <v>0.3</v>
      </c>
      <c r="Z33" s="31">
        <v>0</v>
      </c>
      <c r="AA33" s="31">
        <v>0.3</v>
      </c>
      <c r="AB33" s="31">
        <v>0.3</v>
      </c>
      <c r="AC33" s="45">
        <f>V33*(1-AB33-X33)</f>
        <v>1540</v>
      </c>
    </row>
    <row r="34" spans="1:29" ht="63" x14ac:dyDescent="0.35">
      <c r="A34" s="29" t="s">
        <v>37</v>
      </c>
      <c r="B34" s="10">
        <v>2</v>
      </c>
      <c r="C34" s="30">
        <f>10000*0.7</f>
        <v>7000</v>
      </c>
      <c r="D34" s="30">
        <f>10000*0.1</f>
        <v>1000</v>
      </c>
      <c r="E34" s="30">
        <f>10000*0.05</f>
        <v>500</v>
      </c>
      <c r="F34" s="30">
        <f>10000*0.1</f>
        <v>1000</v>
      </c>
      <c r="G34" s="30">
        <f>10000*0.05</f>
        <v>500</v>
      </c>
      <c r="H34" s="30">
        <f>10000*0.72</f>
        <v>7200</v>
      </c>
      <c r="I34" s="30">
        <f>10000*0.09</f>
        <v>900</v>
      </c>
      <c r="J34" s="30">
        <f>10000*0.04</f>
        <v>400</v>
      </c>
      <c r="K34" s="30">
        <f>10000*0.1</f>
        <v>1000</v>
      </c>
      <c r="L34" s="30">
        <f>10000*0.05</f>
        <v>500</v>
      </c>
      <c r="M34" s="30">
        <v>800</v>
      </c>
      <c r="N34" s="30">
        <v>800</v>
      </c>
      <c r="O34" s="9">
        <f t="shared" ref="O34:O37" si="9">SUM(E34:G34)+SUM(J34:L34)+M34+N34</f>
        <v>5500</v>
      </c>
      <c r="P34" s="15">
        <v>1</v>
      </c>
      <c r="R34" s="31">
        <v>1</v>
      </c>
      <c r="S34" s="31">
        <v>0.6</v>
      </c>
      <c r="T34" s="31">
        <v>1</v>
      </c>
      <c r="U34" s="38">
        <f t="shared" ref="U34:U37" si="10">O34*MIN(R34:T34)</f>
        <v>3300</v>
      </c>
      <c r="V34" s="45">
        <f t="shared" ref="V34:V37" si="11">SUM(E34:G34)*MIN(R34:T34)</f>
        <v>1200</v>
      </c>
      <c r="W34" s="33" t="s">
        <v>60</v>
      </c>
      <c r="X34" s="43"/>
      <c r="Y34" s="31">
        <v>0.2</v>
      </c>
      <c r="Z34" s="31">
        <v>0</v>
      </c>
      <c r="AA34" s="31">
        <v>0.2</v>
      </c>
      <c r="AB34" s="31">
        <v>0.2</v>
      </c>
      <c r="AC34" s="45">
        <f>V34*(1-AB34-X34)</f>
        <v>960</v>
      </c>
    </row>
    <row r="35" spans="1:29" x14ac:dyDescent="0.35">
      <c r="A35" s="29" t="s">
        <v>38</v>
      </c>
      <c r="B35" s="11">
        <v>3</v>
      </c>
      <c r="C35" s="30">
        <f>10000*0.5</f>
        <v>5000</v>
      </c>
      <c r="D35" s="30">
        <f>10000*0.25</f>
        <v>2500</v>
      </c>
      <c r="E35" s="30">
        <f>10000*0.1</f>
        <v>1000</v>
      </c>
      <c r="F35" s="30">
        <f>10000*0.1</f>
        <v>1000</v>
      </c>
      <c r="G35" s="30">
        <f>10000*0.05</f>
        <v>500</v>
      </c>
      <c r="H35" s="30">
        <f>10000*0.48</f>
        <v>4800</v>
      </c>
      <c r="I35" s="30">
        <f>10000*0.25</f>
        <v>2500</v>
      </c>
      <c r="J35" s="30">
        <f>10000*0.12</f>
        <v>1200</v>
      </c>
      <c r="K35" s="30">
        <f>10000*0.1</f>
        <v>1000</v>
      </c>
      <c r="L35" s="30">
        <f>10000*0.05</f>
        <v>500</v>
      </c>
      <c r="M35" s="30">
        <v>800</v>
      </c>
      <c r="N35" s="30">
        <v>800</v>
      </c>
      <c r="O35" s="9">
        <f t="shared" si="9"/>
        <v>6800</v>
      </c>
      <c r="P35" s="15">
        <v>1</v>
      </c>
      <c r="R35" s="31">
        <v>0.5</v>
      </c>
      <c r="S35" s="31">
        <v>1</v>
      </c>
      <c r="T35" s="31">
        <v>1</v>
      </c>
      <c r="U35" s="38">
        <f t="shared" si="10"/>
        <v>3400</v>
      </c>
      <c r="V35" s="45">
        <f t="shared" si="11"/>
        <v>1250</v>
      </c>
      <c r="W35" s="32"/>
      <c r="X35" s="30"/>
      <c r="Y35" s="31">
        <v>0.1</v>
      </c>
      <c r="Z35" s="31">
        <v>0</v>
      </c>
      <c r="AA35" s="31">
        <v>0.1</v>
      </c>
      <c r="AB35" s="31">
        <v>0.1</v>
      </c>
      <c r="AC35" s="45">
        <f>V35*(1-AB35-X35)</f>
        <v>1125</v>
      </c>
    </row>
    <row r="36" spans="1:29" x14ac:dyDescent="0.35">
      <c r="A36" s="29" t="s">
        <v>39</v>
      </c>
      <c r="B36" s="12">
        <v>4</v>
      </c>
      <c r="C36" s="30">
        <f>10000*0.3</f>
        <v>3000</v>
      </c>
      <c r="D36" s="30">
        <f>10000*0.35</f>
        <v>3500</v>
      </c>
      <c r="E36" s="30">
        <f t="shared" ref="E36:E37" si="12">10000*0.1</f>
        <v>1000</v>
      </c>
      <c r="F36" s="30">
        <f>10000*0.15</f>
        <v>1500</v>
      </c>
      <c r="G36" s="30">
        <f>10000*0.1</f>
        <v>1000</v>
      </c>
      <c r="H36" s="30">
        <f>10000*0.4</f>
        <v>4000</v>
      </c>
      <c r="I36" s="30">
        <f>10000*0.24</f>
        <v>2400</v>
      </c>
      <c r="J36" s="30">
        <f t="shared" ref="J36:J37" si="13">10000*0.1</f>
        <v>1000</v>
      </c>
      <c r="K36" s="30">
        <f>10000*0.16</f>
        <v>1600</v>
      </c>
      <c r="L36" s="30">
        <f>10000*0.1</f>
        <v>1000</v>
      </c>
      <c r="M36" s="30">
        <v>800</v>
      </c>
      <c r="N36" s="30">
        <v>800</v>
      </c>
      <c r="O36" s="9">
        <f t="shared" si="9"/>
        <v>8700</v>
      </c>
      <c r="P36" s="15">
        <v>1</v>
      </c>
      <c r="R36" s="31">
        <v>1</v>
      </c>
      <c r="S36" s="31">
        <v>0.5</v>
      </c>
      <c r="T36" s="31">
        <v>0.5</v>
      </c>
      <c r="U36" s="38">
        <f t="shared" si="10"/>
        <v>4350</v>
      </c>
      <c r="V36" s="45">
        <f t="shared" si="11"/>
        <v>1750</v>
      </c>
      <c r="W36" s="32"/>
      <c r="X36" s="30"/>
      <c r="Y36" s="31">
        <v>0</v>
      </c>
      <c r="Z36" s="31">
        <v>0</v>
      </c>
      <c r="AA36" s="31">
        <v>0</v>
      </c>
      <c r="AB36" s="31">
        <v>0</v>
      </c>
      <c r="AC36" s="45">
        <f>V36*(1-AB36-X36)</f>
        <v>1750</v>
      </c>
    </row>
    <row r="37" spans="1:29" x14ac:dyDescent="0.35">
      <c r="A37" s="29" t="s">
        <v>40</v>
      </c>
      <c r="B37" s="13">
        <v>5</v>
      </c>
      <c r="C37" s="30">
        <f>10000*0.15</f>
        <v>1500</v>
      </c>
      <c r="D37" s="30">
        <f>10000*0.2</f>
        <v>2000</v>
      </c>
      <c r="E37" s="30">
        <f t="shared" si="12"/>
        <v>1000</v>
      </c>
      <c r="F37" s="30">
        <f>10000*0.25</f>
        <v>2500</v>
      </c>
      <c r="G37" s="30">
        <f>10000*0.3</f>
        <v>3000</v>
      </c>
      <c r="H37" s="30">
        <f>10000*0.15</f>
        <v>1500</v>
      </c>
      <c r="I37" s="30">
        <f>10000*0.25</f>
        <v>2500</v>
      </c>
      <c r="J37" s="30">
        <f t="shared" si="13"/>
        <v>1000</v>
      </c>
      <c r="K37" s="30">
        <f>10000*0.23</f>
        <v>2300</v>
      </c>
      <c r="L37" s="30">
        <f>10000*0.27</f>
        <v>2700</v>
      </c>
      <c r="M37" s="30">
        <v>800</v>
      </c>
      <c r="N37" s="30">
        <v>800</v>
      </c>
      <c r="O37" s="9">
        <f t="shared" si="9"/>
        <v>14100</v>
      </c>
      <c r="P37" s="15">
        <v>1</v>
      </c>
      <c r="R37" s="31">
        <v>0.5</v>
      </c>
      <c r="S37" s="31">
        <v>0.5</v>
      </c>
      <c r="T37" s="31">
        <v>0.5</v>
      </c>
      <c r="U37" s="38">
        <f t="shared" si="10"/>
        <v>7050</v>
      </c>
      <c r="V37" s="45">
        <f t="shared" si="11"/>
        <v>3250</v>
      </c>
      <c r="W37" s="32"/>
      <c r="X37" s="30"/>
      <c r="Y37" s="31">
        <v>0</v>
      </c>
      <c r="Z37" s="31">
        <v>0</v>
      </c>
      <c r="AA37" s="31">
        <v>0</v>
      </c>
      <c r="AB37" s="31">
        <v>0</v>
      </c>
      <c r="AC37" s="45">
        <f>V37*(1-AB37-X37)</f>
        <v>3250</v>
      </c>
    </row>
    <row r="40" spans="1:29" x14ac:dyDescent="0.35">
      <c r="A40" s="64" t="s">
        <v>101</v>
      </c>
      <c r="B40" s="64"/>
      <c r="C40" s="64"/>
      <c r="D40" s="64"/>
      <c r="E40" s="64"/>
      <c r="F40" s="64"/>
      <c r="G40" s="64"/>
      <c r="H40" s="64"/>
      <c r="I40" s="64"/>
      <c r="J40" s="64"/>
      <c r="K40" s="64"/>
      <c r="L40" s="64"/>
      <c r="M40" s="64"/>
      <c r="N40" s="64"/>
      <c r="Q40" s="64" t="s">
        <v>102</v>
      </c>
      <c r="R40" s="64"/>
      <c r="S40" s="64"/>
      <c r="T40" s="64"/>
      <c r="U40" s="64"/>
      <c r="V40" s="64"/>
      <c r="W40" s="64"/>
      <c r="X40" s="64"/>
      <c r="Y40" s="64"/>
      <c r="Z40" s="64"/>
    </row>
    <row r="41" spans="1:29" x14ac:dyDescent="0.35">
      <c r="A41" s="76" t="s">
        <v>109</v>
      </c>
      <c r="B41" s="75"/>
    </row>
    <row r="42" spans="1:29" x14ac:dyDescent="0.35">
      <c r="C42" s="77" t="s">
        <v>3</v>
      </c>
      <c r="D42" s="77"/>
      <c r="E42" s="77"/>
      <c r="F42" s="77"/>
      <c r="G42" s="77"/>
      <c r="H42" s="77"/>
      <c r="I42" s="77"/>
      <c r="J42" s="77"/>
      <c r="K42" s="77"/>
      <c r="L42" s="77"/>
      <c r="M42" s="77"/>
      <c r="N42" s="77"/>
      <c r="O42" s="77"/>
      <c r="R42" s="77" t="s">
        <v>5</v>
      </c>
      <c r="S42" s="77"/>
      <c r="T42" s="77"/>
      <c r="U42" s="77"/>
      <c r="V42" s="77"/>
      <c r="W42" s="77"/>
      <c r="X42" s="77"/>
      <c r="Y42" s="77"/>
      <c r="Z42" s="77"/>
      <c r="AA42" s="77"/>
      <c r="AB42" s="77"/>
    </row>
    <row r="43" spans="1:29" s="36" customFormat="1" ht="30" customHeight="1" x14ac:dyDescent="0.35">
      <c r="C43" s="82" t="s">
        <v>22</v>
      </c>
      <c r="D43" s="82"/>
      <c r="E43" s="82"/>
      <c r="F43" s="82"/>
      <c r="G43" s="82"/>
      <c r="H43" s="82"/>
      <c r="I43" s="82"/>
      <c r="J43" s="82"/>
      <c r="K43" s="82"/>
      <c r="L43" s="82"/>
      <c r="M43" s="85" t="s">
        <v>12</v>
      </c>
      <c r="N43" s="85"/>
      <c r="O43" s="81" t="s">
        <v>7</v>
      </c>
      <c r="R43" s="82" t="s">
        <v>25</v>
      </c>
      <c r="S43" s="82"/>
      <c r="T43" s="82"/>
      <c r="U43" s="89" t="s">
        <v>48</v>
      </c>
      <c r="V43" s="78" t="s">
        <v>90</v>
      </c>
      <c r="W43" s="83" t="s">
        <v>26</v>
      </c>
      <c r="X43" s="83"/>
      <c r="Y43" s="83"/>
      <c r="Z43" s="83"/>
      <c r="AA43" s="83"/>
      <c r="AB43" s="83"/>
      <c r="AC43" s="78" t="s">
        <v>49</v>
      </c>
    </row>
    <row r="44" spans="1:29" s="36" customFormat="1" ht="30" customHeight="1" x14ac:dyDescent="0.35">
      <c r="C44" s="88" t="s">
        <v>0</v>
      </c>
      <c r="D44" s="88"/>
      <c r="E44" s="88"/>
      <c r="F44" s="88"/>
      <c r="G44" s="88"/>
      <c r="H44" s="79" t="s">
        <v>1</v>
      </c>
      <c r="I44" s="79"/>
      <c r="J44" s="79"/>
      <c r="K44" s="79"/>
      <c r="L44" s="79"/>
      <c r="M44" s="92" t="s">
        <v>13</v>
      </c>
      <c r="N44" s="92" t="s">
        <v>14</v>
      </c>
      <c r="O44" s="81"/>
      <c r="R44" s="82"/>
      <c r="S44" s="82"/>
      <c r="T44" s="82"/>
      <c r="U44" s="89"/>
      <c r="V44" s="78"/>
      <c r="W44" s="91" t="s">
        <v>27</v>
      </c>
      <c r="X44" s="91"/>
      <c r="Y44" s="84" t="s">
        <v>6</v>
      </c>
      <c r="Z44" s="84"/>
      <c r="AA44" s="84"/>
      <c r="AB44" s="84"/>
      <c r="AC44" s="78"/>
    </row>
    <row r="45" spans="1:29" s="36" customFormat="1" ht="85.5" customHeight="1" x14ac:dyDescent="0.35">
      <c r="A45" s="20" t="s">
        <v>29</v>
      </c>
      <c r="B45" s="35" t="s">
        <v>44</v>
      </c>
      <c r="C45" s="8">
        <v>1</v>
      </c>
      <c r="D45" s="10">
        <v>2</v>
      </c>
      <c r="E45" s="11">
        <v>3</v>
      </c>
      <c r="F45" s="12">
        <v>4</v>
      </c>
      <c r="G45" s="13">
        <v>5</v>
      </c>
      <c r="H45" s="8">
        <v>1</v>
      </c>
      <c r="I45" s="10">
        <v>2</v>
      </c>
      <c r="J45" s="11">
        <v>3</v>
      </c>
      <c r="K45" s="12">
        <v>4</v>
      </c>
      <c r="L45" s="13">
        <v>5</v>
      </c>
      <c r="M45" s="92"/>
      <c r="N45" s="92"/>
      <c r="O45" s="81"/>
      <c r="P45" s="14" t="s">
        <v>24</v>
      </c>
      <c r="Q45" s="1"/>
      <c r="R45" s="42" t="s">
        <v>33</v>
      </c>
      <c r="S45" s="42" t="s">
        <v>4</v>
      </c>
      <c r="T45" s="42" t="s">
        <v>8</v>
      </c>
      <c r="U45" s="90"/>
      <c r="V45" s="80"/>
      <c r="W45" s="16" t="s">
        <v>28</v>
      </c>
      <c r="X45" s="26" t="s">
        <v>20</v>
      </c>
      <c r="Y45" s="27" t="s">
        <v>31</v>
      </c>
      <c r="Z45" s="27" t="s">
        <v>32</v>
      </c>
      <c r="AA45" s="21" t="s">
        <v>30</v>
      </c>
      <c r="AB45" s="44" t="s">
        <v>57</v>
      </c>
      <c r="AC45" s="80"/>
    </row>
    <row r="46" spans="1:29" ht="52" x14ac:dyDescent="0.35">
      <c r="A46" s="29" t="s">
        <v>36</v>
      </c>
      <c r="B46" s="8">
        <v>1</v>
      </c>
      <c r="C46" s="30">
        <f>10000*0.76</f>
        <v>7600</v>
      </c>
      <c r="D46" s="30">
        <f>10000*0.02</f>
        <v>200</v>
      </c>
      <c r="E46" s="30">
        <f>10000*0.02</f>
        <v>200</v>
      </c>
      <c r="F46" s="30">
        <f>10000*0.1</f>
        <v>1000</v>
      </c>
      <c r="G46" s="30">
        <f>10000*0.1</f>
        <v>1000</v>
      </c>
      <c r="H46" s="30">
        <f>10000*0.78</f>
        <v>7800</v>
      </c>
      <c r="I46" s="30">
        <f>10000*0.05</f>
        <v>500</v>
      </c>
      <c r="J46" s="30">
        <f>10000*0.02</f>
        <v>200</v>
      </c>
      <c r="K46" s="30">
        <f>10000*0.08</f>
        <v>800</v>
      </c>
      <c r="L46" s="30">
        <f>10000*0.07</f>
        <v>700.00000000000011</v>
      </c>
      <c r="M46" s="30">
        <v>800</v>
      </c>
      <c r="N46" s="30">
        <v>800</v>
      </c>
      <c r="O46" s="9">
        <f>SUM(E46:G46)+SUM(J46:L46)+M46+N46</f>
        <v>5500</v>
      </c>
      <c r="P46" s="15">
        <v>0</v>
      </c>
      <c r="R46" s="31">
        <v>1</v>
      </c>
      <c r="S46" s="31">
        <v>1</v>
      </c>
      <c r="T46" s="31">
        <v>1</v>
      </c>
      <c r="U46" s="38">
        <f>O46*MIN(R46:T46)</f>
        <v>5500</v>
      </c>
      <c r="V46" s="45">
        <f>IF(B20&gt;2, SUM(E46:G46)*MIN(R46:T46),0)</f>
        <v>0</v>
      </c>
      <c r="W46" s="32" t="s">
        <v>59</v>
      </c>
      <c r="X46" s="43">
        <v>0</v>
      </c>
      <c r="Y46" s="31">
        <v>0.3</v>
      </c>
      <c r="Z46" s="31">
        <v>0</v>
      </c>
      <c r="AA46" s="31">
        <v>0.3</v>
      </c>
      <c r="AB46" s="31">
        <v>0.3</v>
      </c>
      <c r="AC46" s="45">
        <f>V46*(1-AB46-X46)</f>
        <v>0</v>
      </c>
    </row>
    <row r="47" spans="1:29" ht="63" x14ac:dyDescent="0.35">
      <c r="A47" s="29" t="s">
        <v>37</v>
      </c>
      <c r="B47" s="10">
        <v>2</v>
      </c>
      <c r="C47" s="30">
        <f>10000*0.7</f>
        <v>7000</v>
      </c>
      <c r="D47" s="30">
        <f>10000*0.1</f>
        <v>1000</v>
      </c>
      <c r="E47" s="30">
        <f>10000*0.05</f>
        <v>500</v>
      </c>
      <c r="F47" s="30">
        <f>10000*0.1</f>
        <v>1000</v>
      </c>
      <c r="G47" s="30">
        <f>10000*0.05</f>
        <v>500</v>
      </c>
      <c r="H47" s="30">
        <f>10000*0.72</f>
        <v>7200</v>
      </c>
      <c r="I47" s="30">
        <f>10000*0.09</f>
        <v>900</v>
      </c>
      <c r="J47" s="30">
        <f>10000*0.04</f>
        <v>400</v>
      </c>
      <c r="K47" s="30">
        <f>10000*0.1</f>
        <v>1000</v>
      </c>
      <c r="L47" s="30">
        <f>10000*0.05</f>
        <v>500</v>
      </c>
      <c r="M47" s="30">
        <v>800</v>
      </c>
      <c r="N47" s="30">
        <v>800</v>
      </c>
      <c r="O47" s="9">
        <f t="shared" ref="O47:O50" si="14">SUM(E47:G47)+SUM(J47:L47)+M47+N47</f>
        <v>5500</v>
      </c>
      <c r="P47" s="15">
        <v>1</v>
      </c>
      <c r="R47" s="31">
        <v>1</v>
      </c>
      <c r="S47" s="31">
        <v>0.6</v>
      </c>
      <c r="T47" s="31">
        <v>1</v>
      </c>
      <c r="U47" s="38">
        <f t="shared" ref="U47:U50" si="15">O47*MIN(R47:T47)</f>
        <v>3300</v>
      </c>
      <c r="V47" s="45">
        <f t="shared" ref="V47:V50" si="16">IF(B21&gt;2, SUM(E47:G47)*MIN(R47:T47),0)</f>
        <v>0</v>
      </c>
      <c r="W47" s="33" t="s">
        <v>60</v>
      </c>
      <c r="X47" s="43"/>
      <c r="Y47" s="31">
        <v>0.2</v>
      </c>
      <c r="Z47" s="31">
        <v>0</v>
      </c>
      <c r="AA47" s="31">
        <v>0.2</v>
      </c>
      <c r="AB47" s="31">
        <v>0.2</v>
      </c>
      <c r="AC47" s="45">
        <f>V47*(1-AB47-X47)</f>
        <v>0</v>
      </c>
    </row>
    <row r="48" spans="1:29" x14ac:dyDescent="0.35">
      <c r="A48" s="29" t="s">
        <v>38</v>
      </c>
      <c r="B48" s="11">
        <v>3</v>
      </c>
      <c r="C48" s="30">
        <f>10000*0.5</f>
        <v>5000</v>
      </c>
      <c r="D48" s="30">
        <f>10000*0.25</f>
        <v>2500</v>
      </c>
      <c r="E48" s="30">
        <f>10000*0.1</f>
        <v>1000</v>
      </c>
      <c r="F48" s="30">
        <f>10000*0.1</f>
        <v>1000</v>
      </c>
      <c r="G48" s="30">
        <f>10000*0.05</f>
        <v>500</v>
      </c>
      <c r="H48" s="30">
        <f>10000*0.48</f>
        <v>4800</v>
      </c>
      <c r="I48" s="30">
        <f>10000*0.25</f>
        <v>2500</v>
      </c>
      <c r="J48" s="30">
        <f>10000*0.12</f>
        <v>1200</v>
      </c>
      <c r="K48" s="30">
        <f>10000*0.1</f>
        <v>1000</v>
      </c>
      <c r="L48" s="30">
        <f>10000*0.05</f>
        <v>500</v>
      </c>
      <c r="M48" s="30">
        <v>800</v>
      </c>
      <c r="N48" s="30">
        <v>800</v>
      </c>
      <c r="O48" s="9">
        <f t="shared" si="14"/>
        <v>6800</v>
      </c>
      <c r="P48" s="15">
        <v>1</v>
      </c>
      <c r="R48" s="31">
        <v>0.5</v>
      </c>
      <c r="S48" s="31">
        <v>1</v>
      </c>
      <c r="T48" s="31">
        <v>1</v>
      </c>
      <c r="U48" s="38">
        <f t="shared" si="15"/>
        <v>3400</v>
      </c>
      <c r="V48" s="45">
        <f t="shared" si="16"/>
        <v>1250</v>
      </c>
      <c r="W48" s="32"/>
      <c r="X48" s="30"/>
      <c r="Y48" s="31">
        <v>0.1</v>
      </c>
      <c r="Z48" s="31">
        <v>0</v>
      </c>
      <c r="AA48" s="31">
        <v>0.1</v>
      </c>
      <c r="AB48" s="31">
        <v>0.1</v>
      </c>
      <c r="AC48" s="45">
        <f>V48*(1-AB48-X48)</f>
        <v>1125</v>
      </c>
    </row>
    <row r="49" spans="1:31" x14ac:dyDescent="0.35">
      <c r="A49" s="29" t="s">
        <v>39</v>
      </c>
      <c r="B49" s="12">
        <v>4</v>
      </c>
      <c r="C49" s="30">
        <f>10000*0.3</f>
        <v>3000</v>
      </c>
      <c r="D49" s="30">
        <f>10000*0.35</f>
        <v>3500</v>
      </c>
      <c r="E49" s="30">
        <f t="shared" ref="E49:E50" si="17">10000*0.1</f>
        <v>1000</v>
      </c>
      <c r="F49" s="30">
        <f>10000*0.15</f>
        <v>1500</v>
      </c>
      <c r="G49" s="30">
        <f>10000*0.1</f>
        <v>1000</v>
      </c>
      <c r="H49" s="30">
        <f>10000*0.4</f>
        <v>4000</v>
      </c>
      <c r="I49" s="30">
        <f>10000*0.24</f>
        <v>2400</v>
      </c>
      <c r="J49" s="30">
        <f t="shared" ref="J49:J50" si="18">10000*0.1</f>
        <v>1000</v>
      </c>
      <c r="K49" s="30">
        <f>10000*0.16</f>
        <v>1600</v>
      </c>
      <c r="L49" s="30">
        <f>10000*0.1</f>
        <v>1000</v>
      </c>
      <c r="M49" s="30">
        <v>800</v>
      </c>
      <c r="N49" s="30">
        <v>800</v>
      </c>
      <c r="O49" s="9">
        <f t="shared" si="14"/>
        <v>8700</v>
      </c>
      <c r="P49" s="15">
        <v>1</v>
      </c>
      <c r="R49" s="31">
        <v>1</v>
      </c>
      <c r="S49" s="31">
        <v>0.5</v>
      </c>
      <c r="T49" s="31">
        <v>0.5</v>
      </c>
      <c r="U49" s="38">
        <f t="shared" si="15"/>
        <v>4350</v>
      </c>
      <c r="V49" s="45">
        <f t="shared" si="16"/>
        <v>1750</v>
      </c>
      <c r="W49" s="32"/>
      <c r="X49" s="30"/>
      <c r="Y49" s="31">
        <v>0</v>
      </c>
      <c r="Z49" s="31">
        <v>0</v>
      </c>
      <c r="AA49" s="31">
        <v>0</v>
      </c>
      <c r="AB49" s="31">
        <v>0</v>
      </c>
      <c r="AC49" s="45">
        <f>V49*(1-AB49-X49)</f>
        <v>1750</v>
      </c>
    </row>
    <row r="50" spans="1:31" x14ac:dyDescent="0.35">
      <c r="A50" s="29" t="s">
        <v>40</v>
      </c>
      <c r="B50" s="13">
        <v>5</v>
      </c>
      <c r="C50" s="30">
        <f>10000*0.15</f>
        <v>1500</v>
      </c>
      <c r="D50" s="30">
        <f>10000*0.2</f>
        <v>2000</v>
      </c>
      <c r="E50" s="30">
        <f t="shared" si="17"/>
        <v>1000</v>
      </c>
      <c r="F50" s="30">
        <f>10000*0.25</f>
        <v>2500</v>
      </c>
      <c r="G50" s="30">
        <f>10000*0.3</f>
        <v>3000</v>
      </c>
      <c r="H50" s="30">
        <f>10000*0.15</f>
        <v>1500</v>
      </c>
      <c r="I50" s="30">
        <f>10000*0.25</f>
        <v>2500</v>
      </c>
      <c r="J50" s="30">
        <f t="shared" si="18"/>
        <v>1000</v>
      </c>
      <c r="K50" s="30">
        <f>10000*0.23</f>
        <v>2300</v>
      </c>
      <c r="L50" s="30">
        <f>10000*0.27</f>
        <v>2700</v>
      </c>
      <c r="M50" s="30">
        <v>800</v>
      </c>
      <c r="N50" s="30">
        <v>800</v>
      </c>
      <c r="O50" s="9">
        <f t="shared" si="14"/>
        <v>14100</v>
      </c>
      <c r="P50" s="15">
        <v>1</v>
      </c>
      <c r="R50" s="31">
        <v>0.5</v>
      </c>
      <c r="S50" s="31">
        <v>0.5</v>
      </c>
      <c r="T50" s="31">
        <v>0.5</v>
      </c>
      <c r="U50" s="38">
        <f t="shared" si="15"/>
        <v>7050</v>
      </c>
      <c r="V50" s="45">
        <f t="shared" si="16"/>
        <v>3250</v>
      </c>
      <c r="W50" s="32"/>
      <c r="X50" s="30"/>
      <c r="Y50" s="31">
        <v>0</v>
      </c>
      <c r="Z50" s="31">
        <v>0</v>
      </c>
      <c r="AA50" s="31">
        <v>0</v>
      </c>
      <c r="AB50" s="31">
        <v>0</v>
      </c>
      <c r="AC50" s="45">
        <f>V50*(1-AB50-X50)</f>
        <v>3250</v>
      </c>
    </row>
    <row r="53" spans="1:31" x14ac:dyDescent="0.35">
      <c r="A53" s="65" t="s">
        <v>108</v>
      </c>
      <c r="B53" s="65"/>
      <c r="C53" s="65"/>
      <c r="D53" s="65"/>
      <c r="E53" s="65"/>
      <c r="F53" s="65"/>
      <c r="G53" s="65"/>
      <c r="H53" s="65"/>
      <c r="I53" s="65"/>
      <c r="J53" s="65"/>
      <c r="K53" s="65"/>
      <c r="L53" s="65"/>
      <c r="M53" s="65"/>
      <c r="N53" s="65"/>
      <c r="O53" s="65"/>
      <c r="Q53" s="65" t="s">
        <v>107</v>
      </c>
      <c r="R53" s="65"/>
      <c r="S53" s="65"/>
      <c r="T53" s="65"/>
      <c r="U53" s="65"/>
      <c r="V53" s="65"/>
      <c r="W53" s="65"/>
      <c r="X53" s="65"/>
      <c r="Y53" s="65"/>
      <c r="Z53" s="65"/>
      <c r="AA53" s="65"/>
      <c r="AB53" s="65"/>
      <c r="AC53" s="65"/>
      <c r="AD53" s="65"/>
      <c r="AE53" s="65"/>
    </row>
    <row r="54" spans="1:31" x14ac:dyDescent="0.35">
      <c r="A54" s="76" t="s">
        <v>109</v>
      </c>
      <c r="B54" s="75"/>
    </row>
    <row r="55" spans="1:31" x14ac:dyDescent="0.35">
      <c r="C55" s="77" t="s">
        <v>3</v>
      </c>
      <c r="D55" s="77"/>
      <c r="E55" s="77"/>
      <c r="F55" s="77"/>
      <c r="G55" s="77"/>
      <c r="H55" s="77"/>
      <c r="I55" s="77"/>
      <c r="J55" s="77"/>
      <c r="K55" s="77"/>
      <c r="L55" s="77"/>
      <c r="M55" s="77"/>
      <c r="N55" s="77"/>
      <c r="O55" s="77"/>
      <c r="R55" s="77" t="s">
        <v>5</v>
      </c>
      <c r="S55" s="77"/>
      <c r="T55" s="77"/>
      <c r="U55" s="77"/>
      <c r="V55" s="77"/>
      <c r="W55" s="77"/>
      <c r="X55" s="77"/>
      <c r="Y55" s="77"/>
      <c r="Z55" s="77"/>
      <c r="AA55" s="77"/>
      <c r="AB55" s="77"/>
    </row>
    <row r="56" spans="1:31" s="36" customFormat="1" ht="30" customHeight="1" x14ac:dyDescent="0.35">
      <c r="C56" s="82" t="s">
        <v>22</v>
      </c>
      <c r="D56" s="82"/>
      <c r="E56" s="82"/>
      <c r="F56" s="82"/>
      <c r="G56" s="82"/>
      <c r="H56" s="82"/>
      <c r="I56" s="82"/>
      <c r="J56" s="82"/>
      <c r="K56" s="82"/>
      <c r="L56" s="82"/>
      <c r="M56" s="85" t="s">
        <v>12</v>
      </c>
      <c r="N56" s="85"/>
      <c r="O56" s="81" t="s">
        <v>7</v>
      </c>
      <c r="R56" s="82" t="s">
        <v>25</v>
      </c>
      <c r="S56" s="82"/>
      <c r="T56" s="82"/>
      <c r="U56" s="89" t="s">
        <v>48</v>
      </c>
      <c r="V56" s="78" t="s">
        <v>90</v>
      </c>
      <c r="W56" s="83" t="s">
        <v>26</v>
      </c>
      <c r="X56" s="83"/>
      <c r="Y56" s="83"/>
      <c r="Z56" s="83"/>
      <c r="AA56" s="83"/>
      <c r="AB56" s="83"/>
      <c r="AC56" s="78" t="s">
        <v>49</v>
      </c>
    </row>
    <row r="57" spans="1:31" s="36" customFormat="1" ht="30" customHeight="1" x14ac:dyDescent="0.35">
      <c r="C57" s="88" t="s">
        <v>0</v>
      </c>
      <c r="D57" s="88"/>
      <c r="E57" s="88"/>
      <c r="F57" s="88"/>
      <c r="G57" s="88"/>
      <c r="H57" s="79" t="s">
        <v>1</v>
      </c>
      <c r="I57" s="79"/>
      <c r="J57" s="79"/>
      <c r="K57" s="79"/>
      <c r="L57" s="79"/>
      <c r="M57" s="92" t="s">
        <v>13</v>
      </c>
      <c r="N57" s="92" t="s">
        <v>14</v>
      </c>
      <c r="O57" s="81"/>
      <c r="R57" s="82"/>
      <c r="S57" s="82"/>
      <c r="T57" s="82"/>
      <c r="U57" s="89"/>
      <c r="V57" s="78"/>
      <c r="W57" s="91" t="s">
        <v>27</v>
      </c>
      <c r="X57" s="91"/>
      <c r="Y57" s="84" t="s">
        <v>6</v>
      </c>
      <c r="Z57" s="84"/>
      <c r="AA57" s="84"/>
      <c r="AB57" s="84"/>
      <c r="AC57" s="78"/>
    </row>
    <row r="58" spans="1:31" s="36" customFormat="1" ht="85.5" customHeight="1" x14ac:dyDescent="0.35">
      <c r="A58" s="20" t="s">
        <v>29</v>
      </c>
      <c r="B58" s="35" t="s">
        <v>44</v>
      </c>
      <c r="C58" s="8">
        <v>1</v>
      </c>
      <c r="D58" s="10">
        <v>2</v>
      </c>
      <c r="E58" s="11">
        <v>3</v>
      </c>
      <c r="F58" s="12">
        <v>4</v>
      </c>
      <c r="G58" s="13">
        <v>5</v>
      </c>
      <c r="H58" s="8">
        <v>1</v>
      </c>
      <c r="I58" s="10">
        <v>2</v>
      </c>
      <c r="J58" s="11">
        <v>3</v>
      </c>
      <c r="K58" s="12">
        <v>4</v>
      </c>
      <c r="L58" s="13">
        <v>5</v>
      </c>
      <c r="M58" s="92"/>
      <c r="N58" s="92"/>
      <c r="O58" s="81"/>
      <c r="P58" s="14" t="s">
        <v>24</v>
      </c>
      <c r="Q58" s="1"/>
      <c r="R58" s="42" t="s">
        <v>33</v>
      </c>
      <c r="S58" s="42" t="s">
        <v>4</v>
      </c>
      <c r="T58" s="42" t="s">
        <v>8</v>
      </c>
      <c r="U58" s="90"/>
      <c r="V58" s="80"/>
      <c r="W58" s="16" t="s">
        <v>28</v>
      </c>
      <c r="X58" s="26" t="s">
        <v>20</v>
      </c>
      <c r="Y58" s="27" t="s">
        <v>31</v>
      </c>
      <c r="Z58" s="27" t="s">
        <v>32</v>
      </c>
      <c r="AA58" s="21" t="s">
        <v>30</v>
      </c>
      <c r="AB58" s="44" t="s">
        <v>57</v>
      </c>
      <c r="AC58" s="80"/>
    </row>
    <row r="59" spans="1:31" ht="52" x14ac:dyDescent="0.35">
      <c r="A59" s="29" t="s">
        <v>36</v>
      </c>
      <c r="B59" s="8">
        <v>1</v>
      </c>
      <c r="C59" s="30">
        <f>10000*0.76</f>
        <v>7600</v>
      </c>
      <c r="D59" s="30">
        <f>10000*0.02</f>
        <v>200</v>
      </c>
      <c r="E59" s="30">
        <f>10000*0.02</f>
        <v>200</v>
      </c>
      <c r="F59" s="30">
        <f>10000*0.1</f>
        <v>1000</v>
      </c>
      <c r="G59" s="30">
        <f>10000*0.1</f>
        <v>1000</v>
      </c>
      <c r="H59" s="30">
        <f>10000*0.78</f>
        <v>7800</v>
      </c>
      <c r="I59" s="30">
        <f>10000*0.05</f>
        <v>500</v>
      </c>
      <c r="J59" s="30">
        <f>10000*0.02</f>
        <v>200</v>
      </c>
      <c r="K59" s="30">
        <f>10000*0.08</f>
        <v>800</v>
      </c>
      <c r="L59" s="30">
        <f>10000*0.07</f>
        <v>700.00000000000011</v>
      </c>
      <c r="M59" s="30">
        <v>800</v>
      </c>
      <c r="N59" s="30">
        <v>800</v>
      </c>
      <c r="O59" s="9">
        <f>SUM(E59:G59)+SUM(J59:L59)+M59+N59</f>
        <v>5500</v>
      </c>
      <c r="P59" s="15">
        <v>0</v>
      </c>
      <c r="R59" s="31">
        <v>1</v>
      </c>
      <c r="S59" s="31">
        <v>1</v>
      </c>
      <c r="T59" s="31">
        <v>1</v>
      </c>
      <c r="U59" s="38">
        <f>O59*MIN(R59:T59)</f>
        <v>5500</v>
      </c>
      <c r="V59" s="45">
        <f>IF(B33&gt;2, SUM(E59:G59)*MIN(R59:T59),SUM(E59:G59)*0.5*MIN(R59:T59))</f>
        <v>1100</v>
      </c>
      <c r="W59" s="32" t="s">
        <v>59</v>
      </c>
      <c r="X59" s="43">
        <v>0</v>
      </c>
      <c r="Y59" s="31">
        <v>0.3</v>
      </c>
      <c r="Z59" s="31">
        <v>0</v>
      </c>
      <c r="AA59" s="31">
        <v>0.3</v>
      </c>
      <c r="AB59" s="31">
        <v>0.3</v>
      </c>
      <c r="AC59" s="45">
        <f>V59*(1-AB59-X59)</f>
        <v>770</v>
      </c>
    </row>
    <row r="60" spans="1:31" ht="63" x14ac:dyDescent="0.35">
      <c r="A60" s="29" t="s">
        <v>37</v>
      </c>
      <c r="B60" s="10">
        <v>2</v>
      </c>
      <c r="C60" s="30">
        <f>10000*0.7</f>
        <v>7000</v>
      </c>
      <c r="D60" s="30">
        <f>10000*0.1</f>
        <v>1000</v>
      </c>
      <c r="E60" s="30">
        <f>10000*0.05</f>
        <v>500</v>
      </c>
      <c r="F60" s="30">
        <f>10000*0.1</f>
        <v>1000</v>
      </c>
      <c r="G60" s="30">
        <f>10000*0.05</f>
        <v>500</v>
      </c>
      <c r="H60" s="30">
        <f>10000*0.72</f>
        <v>7200</v>
      </c>
      <c r="I60" s="30">
        <f>10000*0.09</f>
        <v>900</v>
      </c>
      <c r="J60" s="30">
        <f>10000*0.04</f>
        <v>400</v>
      </c>
      <c r="K60" s="30">
        <f>10000*0.1</f>
        <v>1000</v>
      </c>
      <c r="L60" s="30">
        <f>10000*0.05</f>
        <v>500</v>
      </c>
      <c r="M60" s="30">
        <v>800</v>
      </c>
      <c r="N60" s="30">
        <v>800</v>
      </c>
      <c r="O60" s="9">
        <f t="shared" ref="O60:O63" si="19">SUM(E60:G60)+SUM(J60:L60)+M60+N60</f>
        <v>5500</v>
      </c>
      <c r="P60" s="15">
        <v>1</v>
      </c>
      <c r="R60" s="31">
        <v>1</v>
      </c>
      <c r="S60" s="31">
        <v>0.6</v>
      </c>
      <c r="T60" s="31">
        <v>1</v>
      </c>
      <c r="U60" s="38">
        <f t="shared" ref="U60:U63" si="20">O60*MIN(R60:T60)</f>
        <v>3300</v>
      </c>
      <c r="V60" s="45">
        <f t="shared" ref="V60:V63" si="21">IF(B34&gt;2, SUM(E60:G60)*MIN(R60:T60),SUM(E60:G60)*0.5*MIN(R60:T60))</f>
        <v>600</v>
      </c>
      <c r="W60" s="33" t="s">
        <v>60</v>
      </c>
      <c r="X60" s="43"/>
      <c r="Y60" s="31">
        <v>0.2</v>
      </c>
      <c r="Z60" s="31">
        <v>0</v>
      </c>
      <c r="AA60" s="31">
        <v>0.2</v>
      </c>
      <c r="AB60" s="31">
        <v>0.2</v>
      </c>
      <c r="AC60" s="45">
        <f>V60*(1-AB60-X60)</f>
        <v>480</v>
      </c>
    </row>
    <row r="61" spans="1:31" x14ac:dyDescent="0.35">
      <c r="A61" s="29" t="s">
        <v>38</v>
      </c>
      <c r="B61" s="11">
        <v>3</v>
      </c>
      <c r="C61" s="30">
        <f>10000*0.5</f>
        <v>5000</v>
      </c>
      <c r="D61" s="30">
        <f>10000*0.25</f>
        <v>2500</v>
      </c>
      <c r="E61" s="30">
        <f>10000*0.1</f>
        <v>1000</v>
      </c>
      <c r="F61" s="30">
        <f>10000*0.1</f>
        <v>1000</v>
      </c>
      <c r="G61" s="30">
        <f>10000*0.05</f>
        <v>500</v>
      </c>
      <c r="H61" s="30">
        <f>10000*0.48</f>
        <v>4800</v>
      </c>
      <c r="I61" s="30">
        <f>10000*0.25</f>
        <v>2500</v>
      </c>
      <c r="J61" s="30">
        <f>10000*0.12</f>
        <v>1200</v>
      </c>
      <c r="K61" s="30">
        <f>10000*0.1</f>
        <v>1000</v>
      </c>
      <c r="L61" s="30">
        <f>10000*0.05</f>
        <v>500</v>
      </c>
      <c r="M61" s="30">
        <v>800</v>
      </c>
      <c r="N61" s="30">
        <v>800</v>
      </c>
      <c r="O61" s="9">
        <f t="shared" si="19"/>
        <v>6800</v>
      </c>
      <c r="P61" s="15">
        <v>1</v>
      </c>
      <c r="R61" s="31">
        <v>0.5</v>
      </c>
      <c r="S61" s="31">
        <v>1</v>
      </c>
      <c r="T61" s="31">
        <v>1</v>
      </c>
      <c r="U61" s="38">
        <f t="shared" si="20"/>
        <v>3400</v>
      </c>
      <c r="V61" s="45">
        <f t="shared" si="21"/>
        <v>1250</v>
      </c>
      <c r="W61" s="32"/>
      <c r="X61" s="30"/>
      <c r="Y61" s="31">
        <v>0.1</v>
      </c>
      <c r="Z61" s="31">
        <v>0</v>
      </c>
      <c r="AA61" s="31">
        <v>0.1</v>
      </c>
      <c r="AB61" s="31">
        <v>0.1</v>
      </c>
      <c r="AC61" s="45">
        <f>V61*(1-AB61-X61)</f>
        <v>1125</v>
      </c>
    </row>
    <row r="62" spans="1:31" x14ac:dyDescent="0.35">
      <c r="A62" s="29" t="s">
        <v>39</v>
      </c>
      <c r="B62" s="12">
        <v>4</v>
      </c>
      <c r="C62" s="30">
        <f>10000*0.3</f>
        <v>3000</v>
      </c>
      <c r="D62" s="30">
        <f>10000*0.35</f>
        <v>3500</v>
      </c>
      <c r="E62" s="30">
        <f t="shared" ref="E62:E63" si="22">10000*0.1</f>
        <v>1000</v>
      </c>
      <c r="F62" s="30">
        <f>10000*0.15</f>
        <v>1500</v>
      </c>
      <c r="G62" s="30">
        <f>10000*0.1</f>
        <v>1000</v>
      </c>
      <c r="H62" s="30">
        <f>10000*0.4</f>
        <v>4000</v>
      </c>
      <c r="I62" s="30">
        <f>10000*0.24</f>
        <v>2400</v>
      </c>
      <c r="J62" s="30">
        <f t="shared" ref="J62:J63" si="23">10000*0.1</f>
        <v>1000</v>
      </c>
      <c r="K62" s="30">
        <f>10000*0.16</f>
        <v>1600</v>
      </c>
      <c r="L62" s="30">
        <f>10000*0.1</f>
        <v>1000</v>
      </c>
      <c r="M62" s="30">
        <v>800</v>
      </c>
      <c r="N62" s="30">
        <v>800</v>
      </c>
      <c r="O62" s="9">
        <f t="shared" si="19"/>
        <v>8700</v>
      </c>
      <c r="P62" s="15">
        <v>1</v>
      </c>
      <c r="R62" s="31">
        <v>1</v>
      </c>
      <c r="S62" s="31">
        <v>0.5</v>
      </c>
      <c r="T62" s="31">
        <v>0.5</v>
      </c>
      <c r="U62" s="38">
        <f t="shared" si="20"/>
        <v>4350</v>
      </c>
      <c r="V62" s="45">
        <f t="shared" si="21"/>
        <v>1750</v>
      </c>
      <c r="W62" s="32"/>
      <c r="X62" s="30"/>
      <c r="Y62" s="31">
        <v>0</v>
      </c>
      <c r="Z62" s="31">
        <v>0</v>
      </c>
      <c r="AA62" s="31">
        <v>0</v>
      </c>
      <c r="AB62" s="31">
        <v>0</v>
      </c>
      <c r="AC62" s="45">
        <f>V62*(1-AB62-X62)</f>
        <v>1750</v>
      </c>
    </row>
    <row r="63" spans="1:31" x14ac:dyDescent="0.35">
      <c r="A63" s="29" t="s">
        <v>40</v>
      </c>
      <c r="B63" s="13">
        <v>5</v>
      </c>
      <c r="C63" s="30">
        <f>10000*0.15</f>
        <v>1500</v>
      </c>
      <c r="D63" s="30">
        <f>10000*0.2</f>
        <v>2000</v>
      </c>
      <c r="E63" s="30">
        <f t="shared" si="22"/>
        <v>1000</v>
      </c>
      <c r="F63" s="30">
        <f>10000*0.25</f>
        <v>2500</v>
      </c>
      <c r="G63" s="30">
        <f>10000*0.3</f>
        <v>3000</v>
      </c>
      <c r="H63" s="30">
        <f>10000*0.15</f>
        <v>1500</v>
      </c>
      <c r="I63" s="30">
        <f>10000*0.25</f>
        <v>2500</v>
      </c>
      <c r="J63" s="30">
        <f t="shared" si="23"/>
        <v>1000</v>
      </c>
      <c r="K63" s="30">
        <f>10000*0.23</f>
        <v>2300</v>
      </c>
      <c r="L63" s="30">
        <f>10000*0.27</f>
        <v>2700</v>
      </c>
      <c r="M63" s="30">
        <v>800</v>
      </c>
      <c r="N63" s="30">
        <v>800</v>
      </c>
      <c r="O63" s="9">
        <f t="shared" si="19"/>
        <v>14100</v>
      </c>
      <c r="P63" s="15">
        <v>1</v>
      </c>
      <c r="R63" s="31">
        <v>0.5</v>
      </c>
      <c r="S63" s="31">
        <v>0.5</v>
      </c>
      <c r="T63" s="31">
        <v>0.5</v>
      </c>
      <c r="U63" s="38">
        <f t="shared" si="20"/>
        <v>7050</v>
      </c>
      <c r="V63" s="45">
        <f t="shared" si="21"/>
        <v>3250</v>
      </c>
      <c r="W63" s="32"/>
      <c r="X63" s="30"/>
      <c r="Y63" s="31">
        <v>0</v>
      </c>
      <c r="Z63" s="31">
        <v>0</v>
      </c>
      <c r="AA63" s="31">
        <v>0</v>
      </c>
      <c r="AB63" s="31">
        <v>0</v>
      </c>
      <c r="AC63" s="45">
        <f>V63*(1-AB63-X63)</f>
        <v>3250</v>
      </c>
    </row>
  </sheetData>
  <mergeCells count="81">
    <mergeCell ref="AC56:AC58"/>
    <mergeCell ref="C57:G57"/>
    <mergeCell ref="H57:L57"/>
    <mergeCell ref="M57:M58"/>
    <mergeCell ref="N57:N58"/>
    <mergeCell ref="W57:X57"/>
    <mergeCell ref="Y57:AB57"/>
    <mergeCell ref="C55:O55"/>
    <mergeCell ref="R55:AB55"/>
    <mergeCell ref="C56:L56"/>
    <mergeCell ref="M56:N56"/>
    <mergeCell ref="O56:O58"/>
    <mergeCell ref="R56:T57"/>
    <mergeCell ref="U56:U58"/>
    <mergeCell ref="V56:V58"/>
    <mergeCell ref="W56:AB56"/>
    <mergeCell ref="AC43:AC45"/>
    <mergeCell ref="C44:G44"/>
    <mergeCell ref="H44:L44"/>
    <mergeCell ref="M44:M45"/>
    <mergeCell ref="N44:N45"/>
    <mergeCell ref="W44:X44"/>
    <mergeCell ref="Y44:AB44"/>
    <mergeCell ref="C42:O42"/>
    <mergeCell ref="R42:AB42"/>
    <mergeCell ref="C43:L43"/>
    <mergeCell ref="M43:N43"/>
    <mergeCell ref="O43:O45"/>
    <mergeCell ref="R43:T44"/>
    <mergeCell ref="U43:U45"/>
    <mergeCell ref="V43:V45"/>
    <mergeCell ref="W43:AB43"/>
    <mergeCell ref="AC30:AC32"/>
    <mergeCell ref="C31:G31"/>
    <mergeCell ref="H31:L31"/>
    <mergeCell ref="M31:M32"/>
    <mergeCell ref="N31:N32"/>
    <mergeCell ref="W31:X31"/>
    <mergeCell ref="Y31:AB31"/>
    <mergeCell ref="C29:O29"/>
    <mergeCell ref="R29:AB29"/>
    <mergeCell ref="C30:L30"/>
    <mergeCell ref="M30:N30"/>
    <mergeCell ref="O30:O32"/>
    <mergeCell ref="R30:T31"/>
    <mergeCell ref="U30:U32"/>
    <mergeCell ref="V30:V32"/>
    <mergeCell ref="W30:AB30"/>
    <mergeCell ref="V17:V19"/>
    <mergeCell ref="W17:AB17"/>
    <mergeCell ref="AC17:AC19"/>
    <mergeCell ref="C18:G18"/>
    <mergeCell ref="H18:L18"/>
    <mergeCell ref="M18:M19"/>
    <mergeCell ref="N18:N19"/>
    <mergeCell ref="W18:X18"/>
    <mergeCell ref="Y18:AB18"/>
    <mergeCell ref="C17:L17"/>
    <mergeCell ref="M17:N17"/>
    <mergeCell ref="O17:O19"/>
    <mergeCell ref="R17:T18"/>
    <mergeCell ref="U17:U19"/>
    <mergeCell ref="C16:O16"/>
    <mergeCell ref="R16:AB16"/>
    <mergeCell ref="AC4:AC6"/>
    <mergeCell ref="W5:X5"/>
    <mergeCell ref="R3:AB3"/>
    <mergeCell ref="M5:M6"/>
    <mergeCell ref="N5:N6"/>
    <mergeCell ref="O4:O6"/>
    <mergeCell ref="R4:T5"/>
    <mergeCell ref="W4:AB4"/>
    <mergeCell ref="Y5:AB5"/>
    <mergeCell ref="C3:O3"/>
    <mergeCell ref="M4:N4"/>
    <mergeCell ref="C4:L4"/>
    <mergeCell ref="C5:G5"/>
    <mergeCell ref="H5:L5"/>
    <mergeCell ref="U4:U6"/>
    <mergeCell ref="V4:V6"/>
    <mergeCell ref="E1:P1"/>
  </mergeCells>
  <phoneticPr fontId="1" type="noConversion"/>
  <hyperlinks>
    <hyperlink ref="A2" location="Prioritization_options" display="Back to prioritization options list" xr:uid="{E87B45B3-24F9-484F-9DAE-501A53F6F309}"/>
    <hyperlink ref="A15" location="Prioritization_options" display="Back to prioritization options list" xr:uid="{80DCB1E7-56FD-4C4B-8CAF-73E10D32E416}"/>
    <hyperlink ref="A28" location="Prioritization_options" display="Back to prioritization options list" xr:uid="{71A9D9CA-540A-498A-BA02-FB86F0617D44}"/>
    <hyperlink ref="A41" location="Prioritization_options" display="Back to prioritization options list" xr:uid="{097E5E65-A2FA-457E-985F-738EFE070B7A}"/>
    <hyperlink ref="A54" location="Prioritization_options" display="Back to prioritization options list" xr:uid="{B7570719-080C-4CB6-A0AD-F310C3A71172}"/>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Read me</vt:lpstr>
      <vt:lpstr>Data Poor</vt:lpstr>
      <vt:lpstr>Data Rich</vt:lpstr>
      <vt:lpstr>Benchmark_combinaison_Poor</vt:lpstr>
      <vt:lpstr>Benchmark_combinaison_Rich</vt:lpstr>
      <vt:lpstr>Combinaison_of_prioritization_Rich</vt:lpstr>
      <vt:lpstr>Combinaison_Poor</vt:lpstr>
      <vt:lpstr>Per_area_severity_Rich</vt:lpstr>
      <vt:lpstr>Per_geographical_area___Rich</vt:lpstr>
      <vt:lpstr>Per_geographical_area_Data_Poor</vt:lpstr>
      <vt:lpstr>Per_severity_score__Poor</vt:lpstr>
      <vt:lpstr>Per_vulnerable_groups__Poor</vt:lpstr>
      <vt:lpstr>Per_vulnerable_groups__Rich</vt:lpstr>
      <vt:lpstr>Prioritization_options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Hamai</dc:creator>
  <cp:lastModifiedBy>Rebecka Rydberg</cp:lastModifiedBy>
  <dcterms:created xsi:type="dcterms:W3CDTF">2020-11-11T09:02:43Z</dcterms:created>
  <dcterms:modified xsi:type="dcterms:W3CDTF">2020-12-02T18:09:52Z</dcterms:modified>
</cp:coreProperties>
</file>