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95" windowWidth="12240" windowHeight="8025" activeTab="1"/>
  </bookViews>
  <sheets>
    <sheet name="Zatari" sheetId="1" r:id="rId1"/>
    <sheet name="Azraq" sheetId="2" r:id="rId2"/>
    <sheet name="Host communities" sheetId="3" r:id="rId3"/>
  </sheets>
  <externalReferences>
    <externalReference r:id="rId6"/>
    <externalReference r:id="rId7"/>
  </externalReferences>
  <definedNames>
    <definedName name="Districts">#REF!</definedName>
    <definedName name="Field">'[2]Geographical structure'!$D$39:$D$74</definedName>
    <definedName name="Regions">'[2]Geographical structure'!$B$39:$B$45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U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 think more than 1.5, we need trans. , catering, …. So I think 6-10 $</t>
        </r>
      </text>
    </comment>
    <comment ref="U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 think 72 not 30 </t>
        </r>
      </text>
    </comment>
  </commentList>
</comments>
</file>

<file path=xl/sharedStrings.xml><?xml version="1.0" encoding="utf-8"?>
<sst xmlns="http://schemas.openxmlformats.org/spreadsheetml/2006/main" count="993" uniqueCount="410">
  <si>
    <t>Unit</t>
  </si>
  <si>
    <t>lumpsum</t>
  </si>
  <si>
    <t>Family latrine construction/rehabilitation</t>
  </si>
  <si>
    <t xml:space="preserve">Free Residual Chlorine Pool tester </t>
  </si>
  <si>
    <t>Bacteriological water Analysis kit</t>
  </si>
  <si>
    <t xml:space="preserve">Setting water analysis field laboratory </t>
  </si>
  <si>
    <t>MEAL (Monitoring and Evaluation, Accountability and Learning)</t>
  </si>
  <si>
    <t>Chemical water analysis kit (1 kit = 1 chemical parameter)</t>
  </si>
  <si>
    <t>kit</t>
  </si>
  <si>
    <t>Cabin</t>
  </si>
  <si>
    <t>person</t>
  </si>
  <si>
    <t>posters</t>
  </si>
  <si>
    <t>leaflet</t>
  </si>
  <si>
    <t>clubs</t>
  </si>
  <si>
    <t>persons</t>
  </si>
  <si>
    <t>partner/month</t>
  </si>
  <si>
    <t>study</t>
  </si>
  <si>
    <t>WASH Tools and equipment (pumps, dewatering pumps, tripode, meter, buckets…)</t>
  </si>
  <si>
    <t xml:space="preserve">Subgrants to partners (HR and operational cost) </t>
  </si>
  <si>
    <t>Number of beneficiary in camp</t>
  </si>
  <si>
    <t>Total program activities US$</t>
  </si>
  <si>
    <t>Activities</t>
  </si>
  <si>
    <t>Nb</t>
  </si>
  <si>
    <t>frequency</t>
  </si>
  <si>
    <t>Unit cost US$</t>
  </si>
  <si>
    <t>Total cost</t>
  </si>
  <si>
    <t>Lesson learned national workshop</t>
  </si>
  <si>
    <t>Miscellaneous</t>
  </si>
  <si>
    <t>Other MEAL cost from agencies (3% of total program budget)</t>
  </si>
  <si>
    <t>Total support cost (log, admin and RH) 35%</t>
  </si>
  <si>
    <t>Objective 1 - Sanitation</t>
  </si>
  <si>
    <t>Objective 3 - WASH in Institutions</t>
  </si>
  <si>
    <t xml:space="preserve">Objective 1 - Water supply </t>
  </si>
  <si>
    <t>Emergency preparedness and contingency planning</t>
  </si>
  <si>
    <t>Borehole pump station O&amp;M</t>
  </si>
  <si>
    <t>Borehole pump station connection to electricity</t>
  </si>
  <si>
    <t>Delivery of water with trucks from outside the camp</t>
  </si>
  <si>
    <t>WASH block construction</t>
  </si>
  <si>
    <t>WASH block repair</t>
  </si>
  <si>
    <t>Rental latrine</t>
  </si>
  <si>
    <t>Disludging of WASH block by trucks</t>
  </si>
  <si>
    <t>Camp cleaning through CFW</t>
  </si>
  <si>
    <t>WASH block cleaning through CFW</t>
  </si>
  <si>
    <t>Solid waste removal and disposal</t>
  </si>
  <si>
    <t>Basic hygiene kit distribution</t>
  </si>
  <si>
    <t>Objective 1 - Hygiene Promotion and community mobilization</t>
  </si>
  <si>
    <t>Hygiene volunteers incentive</t>
  </si>
  <si>
    <t>WASH committee training</t>
  </si>
  <si>
    <t>WASH block maintenance kit</t>
  </si>
  <si>
    <t>WASH committee material kit</t>
  </si>
  <si>
    <t>Hygiene promotion posters</t>
  </si>
  <si>
    <t>Hygiene promotion leaflet</t>
  </si>
  <si>
    <t>Large scale hygiene promotion campaign</t>
  </si>
  <si>
    <t>Provision of hygiene promotion booklets for children</t>
  </si>
  <si>
    <t>Deep borehole drilling and equiping</t>
  </si>
  <si>
    <t>Liter of water per person and per day</t>
  </si>
  <si>
    <t>Number of person per WASH Block</t>
  </si>
  <si>
    <t>Storage tanks for pipe network</t>
  </si>
  <si>
    <t>WASH Household KAP (Knowledge, Attitude, Practice) survey</t>
  </si>
  <si>
    <t>Monthly WASH infrastructure monitoring survey</t>
  </si>
  <si>
    <t>Technical feasibility study</t>
  </si>
  <si>
    <t>Installation of stand alone storage tank (bladders, tank etc…)</t>
  </si>
  <si>
    <t>Construction of WASH block and hand washing facilities in market place</t>
  </si>
  <si>
    <t>Waster water treatment plant (sedimentation ponds and reed beds)</t>
  </si>
  <si>
    <t>Establishment and running of school hygiene clubs</t>
  </si>
  <si>
    <t>m3</t>
  </si>
  <si>
    <t>unit</t>
  </si>
  <si>
    <t>cleaner</t>
  </si>
  <si>
    <t>Solid waste public bin 1m3</t>
  </si>
  <si>
    <t>contract*day</t>
  </si>
  <si>
    <t>kit.month</t>
  </si>
  <si>
    <t>Hygiene kit soap refill</t>
  </si>
  <si>
    <t xml:space="preserve">Dignity kit distribution </t>
  </si>
  <si>
    <t>Diaper kit refill</t>
  </si>
  <si>
    <t xml:space="preserve">Diaper kit distribution </t>
  </si>
  <si>
    <t>Dignity kit refill</t>
  </si>
  <si>
    <t>2 soap 250 gr / month (body and laundry)</t>
  </si>
  <si>
    <t>campaign</t>
  </si>
  <si>
    <t>Hygiene ToT for teachers and CFS volunteers</t>
  </si>
  <si>
    <t>1 school children / HH</t>
  </si>
  <si>
    <t>booklet</t>
  </si>
  <si>
    <t>Provision of WASH posters for institution</t>
  </si>
  <si>
    <t>Provision of hygiene promotion flipchart kit for teachers and CFS volunteers</t>
  </si>
  <si>
    <t>Delivery of water by truck in school/CFS</t>
  </si>
  <si>
    <t>Delivery of water by truck in hospital and health center</t>
  </si>
  <si>
    <t>Nb of health center</t>
  </si>
  <si>
    <t>5 clubs / schools</t>
  </si>
  <si>
    <t>survey</t>
  </si>
  <si>
    <t>Quarterly HH WASH survey</t>
  </si>
  <si>
    <t>workshop</t>
  </si>
  <si>
    <t>already done in Zatari</t>
  </si>
  <si>
    <t>for grey water? For BH monitoring?</t>
  </si>
  <si>
    <t>Purchase of vacuum truck fleet</t>
  </si>
  <si>
    <t>250gr soap</t>
  </si>
  <si>
    <t>Hygiene volunteers training</t>
  </si>
  <si>
    <t>1 kit per committee (stationaries, tools…)</t>
  </si>
  <si>
    <t>Comment partners</t>
  </si>
  <si>
    <t>Explanation of calculation</t>
  </si>
  <si>
    <t>1 posters per 2 HH, 2 different posters</t>
  </si>
  <si>
    <t>1 per HH, 3 different leaflet</t>
  </si>
  <si>
    <t>Hygiene promotion flipchart for hygiene volunteers</t>
  </si>
  <si>
    <t>Emergency preparedness water shortage during summer 2013</t>
  </si>
  <si>
    <t>m3/day</t>
  </si>
  <si>
    <t>Partner's technical WASH training (10 NGO, 5 staff per NGO)</t>
  </si>
  <si>
    <t>1 committees for 3 tapstand 7 person per committees</t>
  </si>
  <si>
    <t>additional refugees</t>
  </si>
  <si>
    <t xml:space="preserve">Delivery of water by trucks </t>
  </si>
  <si>
    <t>Public WASH block construction</t>
  </si>
  <si>
    <t>Cleaning through CFW</t>
  </si>
  <si>
    <t>Objective 3 - WASH in Institutions (Health center/School/CFS)</t>
  </si>
  <si>
    <t>Installation of standalone storage tank (bladders, tank etc…)</t>
  </si>
  <si>
    <t>Pipe network rehabilitation</t>
  </si>
  <si>
    <t>Pipe network construction</t>
  </si>
  <si>
    <t>Public WASH block rehabilitation</t>
  </si>
  <si>
    <t>Solid waste public bin 1m3 provision</t>
  </si>
  <si>
    <t>Sewage network rehabilitation</t>
  </si>
  <si>
    <t>Sewage network construction</t>
  </si>
  <si>
    <t>Provision of material for HH latrine construction</t>
  </si>
  <si>
    <t>Improve / rehabilitate waste water treatment plant</t>
  </si>
  <si>
    <t>plant</t>
  </si>
  <si>
    <t>Tools for camp cleaning</t>
  </si>
  <si>
    <t>Pump station</t>
  </si>
  <si>
    <t>estimated on 1/5 of the block. In transit area</t>
  </si>
  <si>
    <t>Tools and material for camp cleaning</t>
  </si>
  <si>
    <t>CFW cleaning WASH block in institution</t>
  </si>
  <si>
    <t>with smart phone</t>
  </si>
  <si>
    <t>Number of people/family</t>
  </si>
  <si>
    <t>Emergency preparedness new influx refugees in summer 2013</t>
  </si>
  <si>
    <t>Delivery of water with trucks from camp boreholes</t>
  </si>
  <si>
    <t xml:space="preserve">Installation of stand-alone storage tank (bladders, tank etc…) </t>
  </si>
  <si>
    <t>pipeline</t>
  </si>
  <si>
    <t xml:space="preserve">for 1 month at the end of 2013 when borehole are drilled and pump stations operational. </t>
  </si>
  <si>
    <t>To be confirmed if/when this will be done, or if we continue with trucking for 2013</t>
  </si>
  <si>
    <t>60 sample collected every week in the camp. 1 sample is 3 analysis. So 720 analysis /month for 6 months</t>
  </si>
  <si>
    <t>Not planned, but for contingency</t>
  </si>
  <si>
    <t>Rented latrine cabin (including desludging and cleaning)</t>
  </si>
  <si>
    <t>1 kit per plot (so 1 kit for 2 blocks). 1 kit is 200$ including refill of consumable for 6 month. They will probably need to be replaced every month for blocks in transit area (added 6*10% of the block) as population will move and steal/keep them</t>
  </si>
  <si>
    <t>Wheelbarrom, fork hoe etc...replaced 3 time</t>
  </si>
  <si>
    <t xml:space="preserve">We calculate 1 for 30 HH (150 people) </t>
  </si>
  <si>
    <t xml:space="preserve">Bin to be emptied twice per day. to be emptied twice per day. This is based on 0.013 m3 per person per day (average from zaatari) </t>
  </si>
  <si>
    <t>Dignity kit refill (sanitary pad)</t>
  </si>
  <si>
    <t>1 initial training and 1 refresh. To be done several time as volunteers may change</t>
  </si>
  <si>
    <t>estimated. Can consist in 1 week safety water storagte for the camp in separate storage tank</t>
  </si>
  <si>
    <t>Need to be discussed/confirmed</t>
  </si>
  <si>
    <t>This is the cost for 2 reed bed plant near Azraq, that could absorbed a part of the sludge. Option still need to be discussed/confirmed</t>
  </si>
  <si>
    <t>Details</t>
  </si>
  <si>
    <t>Comments</t>
  </si>
  <si>
    <t xml:space="preserve">Number of schools </t>
  </si>
  <si>
    <t>Construction of WASH block in CFS</t>
  </si>
  <si>
    <t>Provision of hygiene &amp; cleaning material for CFS</t>
  </si>
  <si>
    <t>WASH training for school/HC committee</t>
  </si>
  <si>
    <t>7 members / committees</t>
  </si>
  <si>
    <t>20 posters / school/HC and 3 for CFS. 3 different poster type</t>
  </si>
  <si>
    <t>5L/p/d. To be done until connected to the network</t>
  </si>
  <si>
    <t>Construction of WASH block in schools</t>
  </si>
  <si>
    <t xml:space="preserve">Construction of WASH block in Health center </t>
  </si>
  <si>
    <t>Include tank, piping, toilets</t>
  </si>
  <si>
    <t>Provision of hygiene &amp; cleaning material for school</t>
  </si>
  <si>
    <t>Provision of hygiene &amp; cleaning material for Health center</t>
  </si>
  <si>
    <t>Number of CFS</t>
  </si>
  <si>
    <t>when pump station start</t>
  </si>
  <si>
    <t>station</t>
  </si>
  <si>
    <t>Already in place?</t>
  </si>
  <si>
    <t>20/school and 5 per CFS</t>
  </si>
  <si>
    <t>Disludging of WASH block in school and CFS</t>
  </si>
  <si>
    <t>Disludging of WASH block in Health center</t>
  </si>
  <si>
    <t>Done already</t>
  </si>
  <si>
    <t xml:space="preserve">1 soap 250 gr / month. We do not give the soap </t>
  </si>
  <si>
    <t>To be replaced every 2 months. But we don't do it after june</t>
  </si>
  <si>
    <t>to 1/3 of the families (these with babies). To be replaced every 2 months. But we don't do it after june</t>
  </si>
  <si>
    <t>WASH committee budget</t>
  </si>
  <si>
    <t>committee</t>
  </si>
  <si>
    <t>we give 100JD to each committee/month. 50 JD is to buy hygiene consumable for 4 blocks, the other 50 they manage themselves</t>
  </si>
  <si>
    <t xml:space="preserve">30L/p/d on 30 days/month. 500 people per day for health center </t>
  </si>
  <si>
    <t>1.5 school children / HH</t>
  </si>
  <si>
    <t>Free Residual Chlorine test</t>
  </si>
  <si>
    <t>analysis</t>
  </si>
  <si>
    <t xml:space="preserve">Chemical water analysis </t>
  </si>
  <si>
    <t>project</t>
  </si>
  <si>
    <t>Provision of public latrine maintenance tools kit</t>
  </si>
  <si>
    <t>Provision of HH latrine maintenance tool kit</t>
  </si>
  <si>
    <t>Disludging of waste water</t>
  </si>
  <si>
    <t>Refuse area construction/rehabilitation</t>
  </si>
  <si>
    <t>Basic HH WASH kit distribution</t>
  </si>
  <si>
    <t>WASH committee budget provision</t>
  </si>
  <si>
    <t>Number of beneficiary water:</t>
  </si>
  <si>
    <t>Number of beneficiary sanitation:</t>
  </si>
  <si>
    <t>Number of beneficiary hygiene kit:</t>
  </si>
  <si>
    <t>Number of beneficiary hygiene promotion:</t>
  </si>
  <si>
    <t>Nb of health center:</t>
  </si>
  <si>
    <t>Number of schools and CFS:</t>
  </si>
  <si>
    <t>Liter of water per person and per day:</t>
  </si>
  <si>
    <t>Borehole drilling and equiping</t>
  </si>
  <si>
    <t>Borehole and/or pump station rehabilitation</t>
  </si>
  <si>
    <t>Borehole pump station O&amp;M monthly cost</t>
  </si>
  <si>
    <t>monthly refill</t>
  </si>
  <si>
    <t>Provision of hygiene promotion booklets for school children</t>
  </si>
  <si>
    <t>price are for running pump station with electricity, including power, management, HR, maintenance. It would be 2800/day for generator</t>
  </si>
  <si>
    <t xml:space="preserve">Pipe distribution network </t>
  </si>
  <si>
    <t>Public tap stand connected to distribution network</t>
  </si>
  <si>
    <t xml:space="preserve">module </t>
  </si>
  <si>
    <t xml:space="preserve">Bacteriological water Analysis </t>
  </si>
  <si>
    <t>Free Residual Chlorine analysis</t>
  </si>
  <si>
    <t>every day 50 trucks analsyed and 50 other water source (tap and container in HH)</t>
  </si>
  <si>
    <t xml:space="preserve">Total need is 1000 unit, but most are purchased already so I estimate only 10% new. We calculate 1 for 30 HH (150 people) to be emptied twice per day. </t>
  </si>
  <si>
    <t>estimated. Can consist in 1 week safety water storage for the camp in separate storage tank</t>
  </si>
  <si>
    <t>Emergency preparedness unplanned influx refugees in summer 2013</t>
  </si>
  <si>
    <t>Borehole pump station connection to electricity grid</t>
  </si>
  <si>
    <t xml:space="preserve">Pipeline from BH pump station in camps to 6 storage tanks </t>
  </si>
  <si>
    <t>village</t>
  </si>
  <si>
    <t>already purchased</t>
  </si>
  <si>
    <t>Already in place</t>
  </si>
  <si>
    <t>calculated with 15 lppd, US$ 7 per m3. exact of volume/p/d is not known yet. Will be reduced by 80% if grey water could be infiltrated</t>
  </si>
  <si>
    <t>1 in each village, 2 times</t>
  </si>
  <si>
    <t>Based on the monthly cost per beneficiary calculated for the planned nb person over 7 months. Estimated additional person will arrive in august</t>
  </si>
  <si>
    <t>at the end of 2013 when pump station will be operational. include power, price of water management etc…</t>
  </si>
  <si>
    <t>Need to be discussed</t>
  </si>
  <si>
    <t>estimated from UNICEF waste water management feasiblity asessment. Need to be discussed</t>
  </si>
  <si>
    <t xml:space="preserve">10 latrine, with hand washing points, water kiosque. 56000$ for the whole activity phase 1 in market. </t>
  </si>
  <si>
    <t>5000$ / tanks. Four T95 tanks already installed in Module 4. We first cover module 4, then maybe four other module. Rest of module maybe funded this year. Estimated 3 module will be done in 2013</t>
  </si>
  <si>
    <t>Will cover first module 4, and some other module later. For each module: 21,000 JD for the pipe and 45300 JD for installation = 110,000. rest of module maybe funded this year. Estimated 3 module will be done in 2013</t>
  </si>
  <si>
    <t>1 module = 50 tap stand, 1 tap stand is 500$. rest of module maybe funded this year. Estimated 3 module will be done in 2013</t>
  </si>
  <si>
    <t>maybe a third one by IRD?</t>
  </si>
  <si>
    <t>Number of person per WASH room</t>
  </si>
  <si>
    <t>WASH room construction</t>
  </si>
  <si>
    <t>WASH room repair</t>
  </si>
  <si>
    <t>WASH room maintenance tools kit</t>
  </si>
  <si>
    <t>Disludging of WASH room by vacum trucks</t>
  </si>
  <si>
    <t>WASH room cleaning through CFW</t>
  </si>
  <si>
    <t>Normaly not planned, but could be done in some strategic place, or for contingency</t>
  </si>
  <si>
    <t>Target funding outside UNICEF</t>
  </si>
  <si>
    <t>Target unit/ beneficiary figures</t>
  </si>
  <si>
    <t>Target funding through UNICEF</t>
  </si>
  <si>
    <t>HH Water filters</t>
  </si>
  <si>
    <t>Duration of intervention (months):</t>
  </si>
  <si>
    <t xml:space="preserve">From January to july until camp pump station start. </t>
  </si>
  <si>
    <t xml:space="preserve">Was done in some part of the camp, while waiting for WASH blocks, but most removed in May </t>
  </si>
  <si>
    <t>Pump stations, including improvement (night storage, filling point etc…)</t>
  </si>
  <si>
    <t>Stopped in may</t>
  </si>
  <si>
    <t xml:space="preserve">estimated was done in 3/4 of the blocks </t>
  </si>
  <si>
    <t>15 lppd</t>
  </si>
  <si>
    <t>replaced 3 time over 12 months</t>
  </si>
  <si>
    <t>to be emptied twice per day. This is based on 0.013 m3 per person per day</t>
  </si>
  <si>
    <t>1 per family</t>
  </si>
  <si>
    <t xml:space="preserve">Baby kit distribution </t>
  </si>
  <si>
    <t>Baby kit refill (nappies)</t>
  </si>
  <si>
    <t xml:space="preserve">Standard is 24 sub-committees of 2 person per module </t>
  </si>
  <si>
    <t>sub-committee</t>
  </si>
  <si>
    <t>Will start after June. we give 200JD to each committee/month. 100 JD is to buy hygiene consumable for 4 blocks, the other 100 JD they manage themselves</t>
  </si>
  <si>
    <t>Not done by WASH sector</t>
  </si>
  <si>
    <t>Education budget?</t>
  </si>
  <si>
    <t>They use the WASH block in Zatari</t>
  </si>
  <si>
    <t>Was done in the school until June</t>
  </si>
  <si>
    <t xml:space="preserve">Disludging of WASH block in school </t>
  </si>
  <si>
    <t xml:space="preserve">30L/p/d on 30 days/month. 300 people per day for health center </t>
  </si>
  <si>
    <t>Delivery of water by truck in school</t>
  </si>
  <si>
    <t>3L/p/d on 25 days/month. 5000 people for school</t>
  </si>
  <si>
    <t>3L/p/d on 25 days/month. 5000 people for school, 40 people for CFS</t>
  </si>
  <si>
    <t>60L/p/d, 500p/d/istitution To be done until connected to the network</t>
  </si>
  <si>
    <t xml:space="preserve">5L/p/d. 5000 p per school. </t>
  </si>
  <si>
    <t xml:space="preserve">60L/p/d, 500p/d/istitution </t>
  </si>
  <si>
    <t>Partners's plan for RRP5 (January to Dec 13)</t>
  </si>
  <si>
    <t>Should be included in Health budget</t>
  </si>
  <si>
    <t>Should be included in CP budget</t>
  </si>
  <si>
    <t>Should be included in institution's budget</t>
  </si>
  <si>
    <t>Should be included in education budget</t>
  </si>
  <si>
    <t xml:space="preserve">Based on the monthly cost per beneficiary calculated for the planned 50,000 person over 7 months. </t>
  </si>
  <si>
    <t>2600 families for 2 month 6.4$/m3</t>
  </si>
  <si>
    <t>1 network rehab</t>
  </si>
  <si>
    <t>Lumpsum incudes water leakage mapping equipment. Distribution line &amp; house connection repair + pipe replacement (4" PE or less) + leakage detection / mapping</t>
  </si>
  <si>
    <t>Twice a month, including airfright, plus 10 pooltesters</t>
  </si>
  <si>
    <t>5000 / kit (2), 0.8 USD, monthly - 1000hh/month</t>
  </si>
  <si>
    <t xml:space="preserve">10 USD / test / once /project </t>
  </si>
  <si>
    <t>2600 filter (1 per families)</t>
  </si>
  <si>
    <t>For informal settlements&amp;standard accomodation</t>
  </si>
  <si>
    <t>2600 kit, 20$/kit</t>
  </si>
  <si>
    <t xml:space="preserve">Soap,Jerrycan, Laundry soap, sanitation cloth etc. </t>
  </si>
  <si>
    <t>20 persons, 4 days / week, 4 month, 18.4$/day</t>
  </si>
  <si>
    <t>community facilitators</t>
  </si>
  <si>
    <t>Including room rent, training material (pen, notepad, big, flipchart)</t>
  </si>
  <si>
    <t>10$/p, 2 training</t>
  </si>
  <si>
    <t>No WASH comittees in the strict sense, rather community groups working on water consrevation strategy  - women, men , children groups</t>
  </si>
  <si>
    <t>150p, 2 training, 1.5$/p</t>
  </si>
  <si>
    <t>30 committees, 100$/committee for room rent</t>
  </si>
  <si>
    <t>Design of pictures, priniting &amp; lamination of A5 (0.2 USD)</t>
  </si>
  <si>
    <t>50 kit, 24$/kit</t>
  </si>
  <si>
    <t>Members of community groups: adults &amp; children, community facilitators</t>
  </si>
  <si>
    <t>0.5 / leaflet, 2 leaflet given to each families</t>
  </si>
  <si>
    <t>3x2 campaigns, 700$</t>
  </si>
  <si>
    <t>Room rent, material, theatre group etc</t>
  </si>
  <si>
    <t>Oxfam (13,000 benef)</t>
  </si>
  <si>
    <t>150 block x 6000$</t>
  </si>
  <si>
    <t>WASH facilities rehabilitation</t>
  </si>
  <si>
    <t>52500 kit x 4$</t>
  </si>
  <si>
    <t>150 school x 2 time x 120$</t>
  </si>
  <si>
    <t>52500 booklet x 0.6</t>
  </si>
  <si>
    <t>3000 posters x 2</t>
  </si>
  <si>
    <t>JEN (150 schools)</t>
  </si>
  <si>
    <t>O&amp;M cost:</t>
  </si>
  <si>
    <t>Capital cost:</t>
  </si>
  <si>
    <t>x</t>
  </si>
  <si>
    <t>$/refugee/month</t>
  </si>
  <si>
    <t>$/refugee</t>
  </si>
  <si>
    <t>Avarege. Price for prefab was 16000. for concrete one, THW module 2,3,5: 40000$, Oxfam are 41,500$</t>
  </si>
  <si>
    <t xml:space="preserve">RI's plan for RRP5 (January to Dec 13) </t>
  </si>
  <si>
    <t>43 750 soaps</t>
  </si>
  <si>
    <t>14 000 sanitary pad</t>
  </si>
  <si>
    <t>No fund yet for this item</t>
  </si>
  <si>
    <t>1750 50l garbage bin with lid for family plot/ yard</t>
  </si>
  <si>
    <t>KAP asessment (data collectors, translation, etc) - Baseline and Final</t>
  </si>
  <si>
    <t>This is for planning figures of 125,000 persons with 35 litres per day for a period of 3 months at a unit cost of 3.7 per m3 (this includes from water from boreholds in and outside the camp)</t>
  </si>
  <si>
    <t>-</t>
  </si>
  <si>
    <t>This is currently supplied by UNICEF</t>
  </si>
  <si>
    <t>This activity has not started yet and costs need to be calculated</t>
  </si>
  <si>
    <t>150 clearners working 6 hours per day and 25 supervisors working 6 hours per day for a period of 3 months</t>
  </si>
  <si>
    <t>624 cleaners at 9JOD per day for 6 months and 62 supervisors at 12 JOD per day for 6 months</t>
  </si>
  <si>
    <t>Kits for camp cleaning for communal areas and WASH centres for a period of 6 months</t>
  </si>
  <si>
    <t>500 1m3 bins to be added</t>
  </si>
  <si>
    <t>200,000 per month for 6 months</t>
  </si>
  <si>
    <t>Kits supplied by UNICEF</t>
  </si>
  <si>
    <t>Each 125g of soap costs 0.3 JOD. Each refugee needs 250g of soap per month to meet SPHERE standards. Soap will be provided for a period of 6 months</t>
  </si>
  <si>
    <t>3000 per month of learning and interactive materials</t>
  </si>
  <si>
    <t>each children's hygiene promtoion colouring book costs 1.20 JOD</t>
  </si>
  <si>
    <t>This is included in the cost for hygiene promotion costs above</t>
  </si>
  <si>
    <t>This KAP survey will be in inter-agency KAP survey</t>
  </si>
  <si>
    <t>ACTED</t>
  </si>
  <si>
    <t>180 hygiene promoters and 15 hygiene promotion team leaders on 11 JOD per day for 6 month</t>
  </si>
  <si>
    <t>Accessibility Modifications</t>
  </si>
  <si>
    <t>Project submitted to ERF. 100 commode chairs, 75 minor and 25 major modifications</t>
  </si>
  <si>
    <t>20000 benef</t>
  </si>
  <si>
    <t xml:space="preserve">1 HP for 500 persons, considered as informal workers, receiving incentive of 1 JD/hours + 2JD for supervisor. </t>
  </si>
  <si>
    <t>2 cleaners / block, CFW workers, paid 1JD/day for unskilled, from 9h to 6 h per day. All should be handed over after June</t>
  </si>
  <si>
    <t>1 person for 50HH (250 people).  2 cleaners / block, CFW workers, paid 1JD/day for unskilled, from 9h to 6 h per day. Will stop in july or not?</t>
  </si>
  <si>
    <t>Generally not done in Azraq, but will probably be done for transit areas (estimated: 10% of the block for 6 months). 2 cleaner for each 8 small blocks. CFW workers, paid 1JD/h for unskilled and 1.5 JD for skilled, from 9h to 6 h per day.</t>
  </si>
  <si>
    <t>Generally not done in Azraq, but will probably be done for transit areas (estimated 10% of the camp). Based 1 person for 50HH (250 people).  CFW workers, paid 1JD/h for unskilled and 1.5 JD for skilled, from 9h to 6 h per day.</t>
  </si>
  <si>
    <t xml:space="preserve">1 volunteers / 500p. Considered as informal workers, receiving incentive of 1 JD/hours + 2JD for supervisor. </t>
  </si>
  <si>
    <t>1 per family. This is not planned for Azraq for cost reduction</t>
  </si>
  <si>
    <t>Only to 1/3 of the families. This is not planned for Azraq for cost reduction</t>
  </si>
  <si>
    <t xml:space="preserve">Complementary hygiene and water storage kit distribution </t>
  </si>
  <si>
    <t>To top up the arrival kits from UNHCR. Figures are from Acted. To be confirmed with all partners.</t>
  </si>
  <si>
    <t>Partners</t>
  </si>
  <si>
    <t>MEAL (Monitoring and Evaluation, Accountability and Learning) (5% of total)</t>
  </si>
  <si>
    <t>IRD</t>
  </si>
  <si>
    <t>UNHCR</t>
  </si>
  <si>
    <t>5 BH rehabilitation at 90,000$ each</t>
  </si>
  <si>
    <t>2 project 450,000$, 6" Line in Maf. And 12" Ramtha</t>
  </si>
  <si>
    <t>425,000$ Aikader waste water treatment plant and 70,000$ Wadi Al Arab WWTP</t>
  </si>
  <si>
    <t xml:space="preserve">Objective 2 - Water supply </t>
  </si>
  <si>
    <t>Objective 2 - Sanitation</t>
  </si>
  <si>
    <t>Objective 2 - Hygiene Promotion and community mobilization</t>
  </si>
  <si>
    <t>Total</t>
  </si>
  <si>
    <t>Total through UNICEF</t>
  </si>
  <si>
    <t>Total outside UNICEF</t>
  </si>
  <si>
    <t>Relief Internationnal</t>
  </si>
  <si>
    <t>3600 kit at 40$ 3 times</t>
  </si>
  <si>
    <t>1800 kit 250gr of soap 2 times, 1 $</t>
  </si>
  <si>
    <t>7200 kit 3 times, 30$</t>
  </si>
  <si>
    <t>7200 monthly refill, 2 times, 10$</t>
  </si>
  <si>
    <t>500 kit, 20$</t>
  </si>
  <si>
    <t>30 persons, 20 working days per month, 19JOD daily inclusive</t>
  </si>
  <si>
    <t>30 person, 26$ 12 times. the cost including Trans., catering, …. Per day</t>
  </si>
  <si>
    <t>150p, 2 training, 10$/p</t>
  </si>
  <si>
    <t xml:space="preserve">72 committees, 100$/committee for room rent, 12-15 person for each commuite, 5 JD catering per person </t>
  </si>
  <si>
    <t>8 kit, 100$</t>
  </si>
  <si>
    <t>20,000 leaflet at 2$ 2 times. undergoing printing by UNICEF</t>
  </si>
  <si>
    <t>10 kit, 120$, 8 times</t>
  </si>
  <si>
    <t>3 campaign. radio- water conservation, HP- one remaining in July</t>
  </si>
  <si>
    <t xml:space="preserve">ARC's plan for RRP5 (January to Dec 13) </t>
  </si>
  <si>
    <t>1 camp unit out of 5</t>
  </si>
  <si>
    <t>1 camp unit</t>
  </si>
  <si>
    <t>Piped Sewage Collection Network</t>
  </si>
  <si>
    <t>Waste Water Treatment Plant</t>
  </si>
  <si>
    <t>Maintenance and operation of waste water treatment plant</t>
  </si>
  <si>
    <t>1 plant. All camp units</t>
  </si>
  <si>
    <t>Covering the needs of a pprojects population of 47,500 at the est. flow of 600m3/ day. Funding TBD, combined funding sources</t>
  </si>
  <si>
    <t>600m3/d, 61 days, 0.4$/m3 . All camp units</t>
  </si>
  <si>
    <t>1 school</t>
  </si>
  <si>
    <t>water for 1,250 families residing in Mafraq, Irbid, Ajloon, Jarash, and Balqa. Each person receiving an average of between 35 and 50 litres per person per day</t>
  </si>
  <si>
    <t>water faility rehabilitation for 310 families. Can indclude water tanks, latrines, water pipes, tank stands and more</t>
  </si>
  <si>
    <t>included in the costs above</t>
  </si>
  <si>
    <t>WASH kits for 2150 families</t>
  </si>
  <si>
    <t>1550 personal/household hygiene kits</t>
  </si>
  <si>
    <t>Baby hygiene kits for 517</t>
  </si>
  <si>
    <t>leaflets for 2150 families</t>
  </si>
  <si>
    <t>hygiene promtoion materials to reach 2150 families</t>
  </si>
  <si>
    <t>HH Water facility construction/rehabilitation</t>
  </si>
  <si>
    <t xml:space="preserve">MC's plan for RRP5 (January to Dec 13) </t>
  </si>
  <si>
    <t xml:space="preserve">ACTED's plan for RRP5 (January to Dec 13) </t>
  </si>
  <si>
    <t xml:space="preserve">THW's plan for RRP5 (January to Dec 13) </t>
  </si>
  <si>
    <t xml:space="preserve">WVI's plan for RRP5 (January to Dec 13) </t>
  </si>
  <si>
    <t xml:space="preserve">NCA/LWF's plan for RRP5 (January to Dec 13) </t>
  </si>
  <si>
    <t xml:space="preserve">Agency's plan for RRP5 (January to Dec 13) </t>
  </si>
  <si>
    <t>JEN's plan for RRP5 (January to Dec 13)</t>
  </si>
  <si>
    <t>Oxfam's plan for RRP5 (January to Dec 13)</t>
  </si>
  <si>
    <t>THW's plan for RRP5 (January to Dec 13)</t>
  </si>
  <si>
    <t>UNICEF's plan for RRP5 (January to Dec 13)</t>
  </si>
  <si>
    <t xml:space="preserve">UNICEF's plan for RRP5 (January to Dec 13) </t>
  </si>
  <si>
    <t>Mercy Corps</t>
  </si>
  <si>
    <t>MC's plan for RRP5 (January to Dec 13)</t>
  </si>
  <si>
    <t>only for night storage + other things. Borehole were drilled in 2012</t>
  </si>
  <si>
    <t>Borehole were drilled in 2012</t>
  </si>
  <si>
    <t>150,000 private funds+ american army for drilling?</t>
  </si>
  <si>
    <t>20M project funded by USAID. Starting June 2013, activities and location not yet identified</t>
  </si>
  <si>
    <t>The most realistic option so far is the package/containerized treatment plant, 55,000JD/container, 1 container = 70m3 / day</t>
  </si>
  <si>
    <t>estimation, running 3 month in 2013</t>
  </si>
  <si>
    <t xml:space="preserve">5000$ / tanks + storage area. 6 T95 tanks for each village. </t>
  </si>
  <si>
    <t xml:space="preserve">1 village = 20 tap stand, 1 tap stand is 2000$ </t>
  </si>
  <si>
    <t xml:space="preserve">One block is 1 shower and 1 latrine plus septic tank. 2 blocks for 1 plot of 6 families. Include septic tank, slabs, superstructure. </t>
  </si>
  <si>
    <t>Based on cost for village 5&amp;6, 5.71$/benef</t>
  </si>
  <si>
    <t>Benef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</si>
</sst>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0.00000000000000000"/>
    <numFmt numFmtId="189" formatCode="[$-809]dd\ mmmm\ yyyy"/>
    <numFmt numFmtId="190" formatCode="#,##0.0"/>
    <numFmt numFmtId="191" formatCode="#,##0_ ;[Red]\-#,##0\ "/>
    <numFmt numFmtId="192" formatCode="0.0"/>
    <numFmt numFmtId="193" formatCode="&quot;£&quot;#,##0"/>
    <numFmt numFmtId="194" formatCode="#,##0\ [$€-1]"/>
    <numFmt numFmtId="195" formatCode="[$$-C09]#,##0"/>
    <numFmt numFmtId="196" formatCode="#,##0.00_ ;[Red]\-#,##0.00\ "/>
    <numFmt numFmtId="197" formatCode="#,##0.0_ ;[Red]\-#,##0.0\ "/>
    <numFmt numFmtId="198" formatCode="#,##0.000_ ;[Red]\-#,##0.000\ "/>
    <numFmt numFmtId="199" formatCode="#,##0.0000_ ;[Red]\-#,##0.0000\ "/>
    <numFmt numFmtId="200" formatCode="[$$-409]#,##0_ ;[Red]\-[$$-409]#,##0\ "/>
    <numFmt numFmtId="201" formatCode="0.0%"/>
    <numFmt numFmtId="202" formatCode="[$$-409]#,##0.0_ ;[Red]\-[$$-409]#,##0.0\ "/>
    <numFmt numFmtId="203" formatCode="#,##0.00000"/>
    <numFmt numFmtId="204" formatCode="0.000%"/>
    <numFmt numFmtId="205" formatCode="0.0000%"/>
    <numFmt numFmtId="206" formatCode="0.00_);[Red]\(0.00\)"/>
    <numFmt numFmtId="207" formatCode="_-* #,##0.0_-;\-* #,##0.0_-;_-* &quot;-&quot;??_-;_-@_-"/>
    <numFmt numFmtId="208" formatCode="#,##0.000000"/>
    <numFmt numFmtId="209" formatCode="#,##0.0000"/>
    <numFmt numFmtId="210" formatCode="dd/mm/yy;@"/>
    <numFmt numFmtId="211" formatCode="#,##0.000"/>
    <numFmt numFmtId="212" formatCode="[$£-809]#,##0"/>
    <numFmt numFmtId="213" formatCode="[$€-2]\ #,##0"/>
    <numFmt numFmtId="214" formatCode="[$NZD]\ #,##0"/>
    <numFmt numFmtId="215" formatCode="&quot;$&quot;#,##0.00"/>
    <numFmt numFmtId="216" formatCode="&quot;$&quot;#,##0"/>
    <numFmt numFmtId="217" formatCode="0.00000"/>
    <numFmt numFmtId="218" formatCode="_-* #,##0_-;\-* #,##0_-;_-* &quot;-&quot;??_-;_-@_-"/>
    <numFmt numFmtId="219" formatCode="_-* #,##0.0_-;\-* #,##0.0_-;_-* &quot;-&quot;?_-;_-@_-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-* #,##0.0\ _€_-;\-* #,##0.0\ _€_-;_-* &quot;-&quot;?\ _€_-;_-@_-"/>
  </numFmts>
  <fonts count="49">
    <font>
      <sz val="10"/>
      <name val="Arial"/>
      <family val="0"/>
    </font>
    <font>
      <sz val="10"/>
      <name val="Verdana"/>
      <family val="2"/>
    </font>
    <font>
      <u val="single"/>
      <sz val="10"/>
      <color indexed="61"/>
      <name val="Verdana"/>
      <family val="2"/>
    </font>
    <font>
      <u val="single"/>
      <sz val="10"/>
      <color indexed="12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0"/>
      <color indexed="63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57" applyFont="1" applyBorder="1" applyAlignment="1" applyProtection="1">
      <alignment horizontal="center"/>
      <protection locked="0"/>
    </xf>
    <xf numFmtId="1" fontId="4" fillId="0" borderId="10" xfId="57" applyNumberFormat="1" applyFont="1" applyBorder="1" applyAlignment="1" applyProtection="1">
      <alignment horizontal="center"/>
      <protection locked="0"/>
    </xf>
    <xf numFmtId="3" fontId="6" fillId="34" borderId="11" xfId="57" applyNumberFormat="1" applyFont="1" applyFill="1" applyBorder="1" applyAlignment="1" applyProtection="1">
      <alignment wrapText="1"/>
      <protection locked="0"/>
    </xf>
    <xf numFmtId="1" fontId="4" fillId="34" borderId="10" xfId="57" applyNumberFormat="1" applyFont="1" applyFill="1" applyBorder="1" applyAlignment="1" applyProtection="1">
      <alignment horizontal="center"/>
      <protection locked="0"/>
    </xf>
    <xf numFmtId="9" fontId="4" fillId="34" borderId="10" xfId="60" applyFont="1" applyFill="1" applyBorder="1" applyAlignment="1" applyProtection="1">
      <alignment horizontal="center"/>
      <protection locked="0"/>
    </xf>
    <xf numFmtId="1" fontId="4" fillId="0" borderId="10" xfId="57" applyNumberFormat="1" applyFont="1" applyBorder="1">
      <alignment/>
      <protection/>
    </xf>
    <xf numFmtId="3" fontId="4" fillId="34" borderId="11" xfId="57" applyNumberFormat="1" applyFont="1" applyFill="1" applyBorder="1" applyAlignment="1" applyProtection="1">
      <alignment wrapText="1"/>
      <protection locked="0"/>
    </xf>
    <xf numFmtId="1" fontId="6" fillId="34" borderId="10" xfId="57" applyNumberFormat="1" applyFont="1" applyFill="1" applyBorder="1" applyAlignment="1" applyProtection="1">
      <alignment horizontal="center"/>
      <protection locked="0"/>
    </xf>
    <xf numFmtId="3" fontId="6" fillId="0" borderId="11" xfId="57" applyNumberFormat="1" applyFont="1" applyBorder="1" applyAlignment="1" applyProtection="1">
      <alignment wrapText="1"/>
      <protection locked="0"/>
    </xf>
    <xf numFmtId="1" fontId="4" fillId="0" borderId="10" xfId="57" applyNumberFormat="1" applyFont="1" applyFill="1" applyBorder="1" applyAlignment="1" applyProtection="1">
      <alignment horizontal="center"/>
      <protection locked="0"/>
    </xf>
    <xf numFmtId="9" fontId="4" fillId="0" borderId="10" xfId="60" applyFont="1" applyBorder="1" applyAlignment="1" applyProtection="1">
      <alignment horizontal="center"/>
      <protection locked="0"/>
    </xf>
    <xf numFmtId="1" fontId="6" fillId="0" borderId="10" xfId="57" applyNumberFormat="1" applyFont="1" applyBorder="1" applyAlignment="1" applyProtection="1">
      <alignment horizontal="center"/>
      <protection locked="0"/>
    </xf>
    <xf numFmtId="3" fontId="6" fillId="0" borderId="10" xfId="57" applyNumberFormat="1" applyFont="1" applyBorder="1" applyAlignment="1" applyProtection="1">
      <alignment wrapText="1"/>
      <protection locked="0"/>
    </xf>
    <xf numFmtId="3" fontId="6" fillId="34" borderId="12" xfId="57" applyNumberFormat="1" applyFont="1" applyFill="1" applyBorder="1" applyAlignment="1" applyProtection="1">
      <alignment wrapText="1"/>
      <protection locked="0"/>
    </xf>
    <xf numFmtId="1" fontId="4" fillId="34" borderId="13" xfId="57" applyNumberFormat="1" applyFont="1" applyFill="1" applyBorder="1" applyAlignment="1" applyProtection="1">
      <alignment horizontal="center"/>
      <protection locked="0"/>
    </xf>
    <xf numFmtId="9" fontId="4" fillId="34" borderId="13" xfId="60" applyFont="1" applyFill="1" applyBorder="1" applyAlignment="1" applyProtection="1">
      <alignment horizontal="center"/>
      <protection locked="0"/>
    </xf>
    <xf numFmtId="0" fontId="4" fillId="35" borderId="14" xfId="57" applyFont="1" applyFill="1" applyBorder="1" applyAlignment="1" applyProtection="1">
      <alignment horizontal="center"/>
      <protection locked="0"/>
    </xf>
    <xf numFmtId="1" fontId="4" fillId="35" borderId="14" xfId="57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" fontId="4" fillId="34" borderId="10" xfId="57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/>
    </xf>
    <xf numFmtId="3" fontId="6" fillId="34" borderId="10" xfId="57" applyNumberFormat="1" applyFont="1" applyFill="1" applyBorder="1" applyAlignment="1" applyProtection="1">
      <alignment wrapText="1"/>
      <protection locked="0"/>
    </xf>
    <xf numFmtId="192" fontId="4" fillId="0" borderId="13" xfId="57" applyNumberFormat="1" applyFont="1" applyBorder="1" applyProtection="1">
      <alignment/>
      <protection locked="0"/>
    </xf>
    <xf numFmtId="192" fontId="4" fillId="0" borderId="10" xfId="57" applyNumberFormat="1" applyFont="1" applyBorder="1" applyProtection="1">
      <alignment/>
      <protection locked="0"/>
    </xf>
    <xf numFmtId="192" fontId="4" fillId="0" borderId="10" xfId="57" applyNumberFormat="1" applyFont="1" applyFill="1" applyBorder="1" applyProtection="1">
      <alignment/>
      <protection locked="0"/>
    </xf>
    <xf numFmtId="192" fontId="4" fillId="33" borderId="10" xfId="57" applyNumberFormat="1" applyFont="1" applyFill="1" applyBorder="1" applyProtection="1">
      <alignment/>
      <protection locked="0"/>
    </xf>
    <xf numFmtId="3" fontId="5" fillId="35" borderId="16" xfId="57" applyNumberFormat="1" applyFont="1" applyFill="1" applyBorder="1" applyAlignment="1">
      <alignment horizontal="right"/>
      <protection/>
    </xf>
    <xf numFmtId="3" fontId="4" fillId="0" borderId="17" xfId="57" applyNumberFormat="1" applyFont="1" applyFill="1" applyBorder="1" applyAlignment="1">
      <alignment horizontal="right"/>
      <protection/>
    </xf>
    <xf numFmtId="0" fontId="4" fillId="0" borderId="0" xfId="0" applyFont="1" applyAlignment="1">
      <alignment wrapText="1"/>
    </xf>
    <xf numFmtId="3" fontId="4" fillId="34" borderId="18" xfId="57" applyNumberFormat="1" applyFont="1" applyFill="1" applyBorder="1" applyAlignment="1">
      <alignment horizontal="right"/>
      <protection/>
    </xf>
    <xf numFmtId="9" fontId="4" fillId="34" borderId="10" xfId="61" applyFont="1" applyFill="1" applyBorder="1" applyAlignment="1" applyProtection="1">
      <alignment horizontal="center"/>
      <protection locked="0"/>
    </xf>
    <xf numFmtId="1" fontId="4" fillId="34" borderId="10" xfId="57" applyNumberFormat="1" applyFont="1" applyFill="1" applyBorder="1">
      <alignment/>
      <protection/>
    </xf>
    <xf numFmtId="192" fontId="4" fillId="34" borderId="10" xfId="57" applyNumberFormat="1" applyFont="1" applyFill="1" applyBorder="1" applyProtection="1">
      <alignment/>
      <protection locked="0"/>
    </xf>
    <xf numFmtId="192" fontId="4" fillId="34" borderId="13" xfId="57" applyNumberFormat="1" applyFont="1" applyFill="1" applyBorder="1" applyProtection="1">
      <alignment/>
      <protection locked="0"/>
    </xf>
    <xf numFmtId="1" fontId="4" fillId="0" borderId="10" xfId="57" applyNumberFormat="1" applyFont="1" applyFill="1" applyBorder="1" applyAlignment="1" applyProtection="1">
      <alignment horizontal="center" wrapText="1"/>
      <protection locked="0"/>
    </xf>
    <xf numFmtId="1" fontId="46" fillId="34" borderId="10" xfId="57" applyNumberFormat="1" applyFont="1" applyFill="1" applyBorder="1" applyAlignment="1" applyProtection="1">
      <alignment horizontal="center"/>
      <protection locked="0"/>
    </xf>
    <xf numFmtId="1" fontId="46" fillId="0" borderId="10" xfId="57" applyNumberFormat="1" applyFont="1" applyBorder="1">
      <alignment/>
      <protection/>
    </xf>
    <xf numFmtId="192" fontId="46" fillId="0" borderId="10" xfId="57" applyNumberFormat="1" applyFont="1" applyBorder="1" applyProtection="1">
      <alignment/>
      <protection locked="0"/>
    </xf>
    <xf numFmtId="3" fontId="46" fillId="34" borderId="11" xfId="57" applyNumberFormat="1" applyFont="1" applyFill="1" applyBorder="1" applyAlignment="1" applyProtection="1">
      <alignment wrapText="1"/>
      <protection locked="0"/>
    </xf>
    <xf numFmtId="1" fontId="46" fillId="34" borderId="10" xfId="57" applyNumberFormat="1" applyFont="1" applyFill="1" applyBorder="1">
      <alignment/>
      <protection/>
    </xf>
    <xf numFmtId="1" fontId="46" fillId="34" borderId="10" xfId="57" applyNumberFormat="1" applyFont="1" applyFill="1" applyBorder="1" applyAlignment="1" applyProtection="1">
      <alignment horizontal="center" wrapText="1"/>
      <protection locked="0"/>
    </xf>
    <xf numFmtId="0" fontId="46" fillId="34" borderId="10" xfId="57" applyFont="1" applyFill="1" applyBorder="1" applyAlignment="1">
      <alignment wrapText="1"/>
      <protection/>
    </xf>
    <xf numFmtId="192" fontId="46" fillId="34" borderId="10" xfId="57" applyNumberFormat="1" applyFont="1" applyFill="1" applyBorder="1" applyProtection="1">
      <alignment/>
      <protection locked="0"/>
    </xf>
    <xf numFmtId="0" fontId="4" fillId="34" borderId="10" xfId="0" applyFont="1" applyFill="1" applyBorder="1" applyAlignment="1">
      <alignment wrapText="1"/>
    </xf>
    <xf numFmtId="1" fontId="47" fillId="34" borderId="10" xfId="57" applyNumberFormat="1" applyFont="1" applyFill="1" applyBorder="1" applyAlignment="1" applyProtection="1">
      <alignment horizontal="center"/>
      <protection locked="0"/>
    </xf>
    <xf numFmtId="1" fontId="47" fillId="34" borderId="10" xfId="57" applyNumberFormat="1" applyFont="1" applyFill="1" applyBorder="1" applyAlignment="1" applyProtection="1">
      <alignment horizontal="center" wrapText="1"/>
      <protection locked="0"/>
    </xf>
    <xf numFmtId="0" fontId="5" fillId="35" borderId="10" xfId="57" applyFont="1" applyFill="1" applyBorder="1" applyAlignment="1" applyProtection="1">
      <alignment wrapText="1"/>
      <protection locked="0"/>
    </xf>
    <xf numFmtId="3" fontId="8" fillId="36" borderId="16" xfId="57" applyNumberFormat="1" applyFont="1" applyFill="1" applyBorder="1" applyAlignment="1">
      <alignment horizontal="center" wrapText="1"/>
      <protection/>
    </xf>
    <xf numFmtId="9" fontId="4" fillId="34" borderId="10" xfId="6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1" fontId="4" fillId="0" borderId="0" xfId="0" applyNumberFormat="1" applyFont="1" applyAlignment="1" applyProtection="1">
      <alignment/>
      <protection locked="0"/>
    </xf>
    <xf numFmtId="3" fontId="5" fillId="35" borderId="10" xfId="57" applyNumberFormat="1" applyFont="1" applyFill="1" applyBorder="1" applyAlignment="1" applyProtection="1">
      <alignment horizontal="right"/>
      <protection locked="0"/>
    </xf>
    <xf numFmtId="1" fontId="4" fillId="0" borderId="13" xfId="57" applyNumberFormat="1" applyFont="1" applyBorder="1" applyProtection="1">
      <alignment/>
      <protection locked="0"/>
    </xf>
    <xf numFmtId="3" fontId="4" fillId="0" borderId="17" xfId="57" applyNumberFormat="1" applyFont="1" applyFill="1" applyBorder="1" applyAlignment="1" applyProtection="1">
      <alignment horizontal="right"/>
      <protection locked="0"/>
    </xf>
    <xf numFmtId="0" fontId="4" fillId="34" borderId="18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locked="0"/>
    </xf>
    <xf numFmtId="3" fontId="4" fillId="0" borderId="18" xfId="57" applyNumberFormat="1" applyFont="1" applyFill="1" applyBorder="1" applyAlignment="1" applyProtection="1">
      <alignment horizontal="right"/>
      <protection locked="0"/>
    </xf>
    <xf numFmtId="1" fontId="4" fillId="0" borderId="10" xfId="57" applyNumberFormat="1" applyFont="1" applyBorder="1" applyProtection="1">
      <alignment/>
      <protection locked="0"/>
    </xf>
    <xf numFmtId="1" fontId="4" fillId="34" borderId="10" xfId="57" applyNumberFormat="1" applyFont="1" applyFill="1" applyBorder="1" applyProtection="1">
      <alignment/>
      <protection locked="0"/>
    </xf>
    <xf numFmtId="3" fontId="4" fillId="34" borderId="18" xfId="57" applyNumberFormat="1" applyFont="1" applyFill="1" applyBorder="1" applyAlignment="1" applyProtection="1">
      <alignment horizontal="right"/>
      <protection locked="0"/>
    </xf>
    <xf numFmtId="3" fontId="4" fillId="0" borderId="18" xfId="57" applyNumberFormat="1" applyFont="1" applyBorder="1" applyAlignment="1" applyProtection="1">
      <alignment horizontal="right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46" fillId="34" borderId="18" xfId="0" applyFont="1" applyFill="1" applyBorder="1" applyAlignment="1" applyProtection="1">
      <alignment wrapText="1"/>
      <protection locked="0"/>
    </xf>
    <xf numFmtId="0" fontId="46" fillId="34" borderId="11" xfId="57" applyFont="1" applyFill="1" applyBorder="1" applyAlignment="1" applyProtection="1">
      <alignment wrapText="1"/>
      <protection locked="0"/>
    </xf>
    <xf numFmtId="0" fontId="4" fillId="34" borderId="11" xfId="57" applyFont="1" applyFill="1" applyBorder="1" applyAlignment="1" applyProtection="1">
      <alignment wrapText="1"/>
      <protection locked="0"/>
    </xf>
    <xf numFmtId="0" fontId="47" fillId="34" borderId="11" xfId="57" applyFont="1" applyFill="1" applyBorder="1" applyAlignment="1" applyProtection="1">
      <alignment wrapText="1"/>
      <protection locked="0"/>
    </xf>
    <xf numFmtId="0" fontId="47" fillId="34" borderId="18" xfId="0" applyFont="1" applyFill="1" applyBorder="1" applyAlignment="1" applyProtection="1">
      <alignment wrapText="1"/>
      <protection locked="0"/>
    </xf>
    <xf numFmtId="0" fontId="4" fillId="34" borderId="15" xfId="57" applyFont="1" applyFill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6" fillId="34" borderId="10" xfId="57" applyFont="1" applyFill="1" applyBorder="1" applyAlignment="1" applyProtection="1">
      <alignment wrapText="1"/>
      <protection locked="0"/>
    </xf>
    <xf numFmtId="0" fontId="4" fillId="34" borderId="10" xfId="57" applyFont="1" applyFill="1" applyBorder="1" applyAlignment="1" applyProtection="1">
      <alignment wrapText="1"/>
      <protection locked="0"/>
    </xf>
    <xf numFmtId="0" fontId="4" fillId="0" borderId="11" xfId="57" applyFont="1" applyFill="1" applyBorder="1" applyAlignment="1" applyProtection="1">
      <alignment wrapText="1"/>
      <protection locked="0"/>
    </xf>
    <xf numFmtId="0" fontId="4" fillId="0" borderId="15" xfId="57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2" fontId="4" fillId="0" borderId="0" xfId="0" applyNumberFormat="1" applyFont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wrapText="1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7" fillId="0" borderId="21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3" fontId="4" fillId="34" borderId="0" xfId="0" applyNumberFormat="1" applyFont="1" applyFill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Alignment="1" applyProtection="1">
      <alignment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3" fontId="4" fillId="34" borderId="12" xfId="57" applyNumberFormat="1" applyFont="1" applyFill="1" applyBorder="1" applyAlignment="1" applyProtection="1">
      <alignment wrapText="1"/>
      <protection locked="0"/>
    </xf>
    <xf numFmtId="3" fontId="4" fillId="34" borderId="10" xfId="57" applyNumberFormat="1" applyFont="1" applyFill="1" applyBorder="1" applyAlignment="1" applyProtection="1">
      <alignment wrapText="1"/>
      <protection locked="0"/>
    </xf>
    <xf numFmtId="0" fontId="4" fillId="34" borderId="20" xfId="57" applyFont="1" applyFill="1" applyBorder="1" applyAlignment="1" applyProtection="1">
      <alignment wrapText="1"/>
      <protection locked="0"/>
    </xf>
    <xf numFmtId="0" fontId="4" fillId="35" borderId="10" xfId="57" applyFont="1" applyFill="1" applyBorder="1" applyAlignment="1" applyProtection="1">
      <alignment horizontal="center"/>
      <protection locked="0"/>
    </xf>
    <xf numFmtId="1" fontId="4" fillId="35" borderId="10" xfId="57" applyNumberFormat="1" applyFont="1" applyFill="1" applyBorder="1" applyAlignment="1" applyProtection="1">
      <alignment horizontal="center"/>
      <protection locked="0"/>
    </xf>
    <xf numFmtId="3" fontId="4" fillId="0" borderId="11" xfId="57" applyNumberFormat="1" applyFont="1" applyBorder="1" applyAlignment="1" applyProtection="1">
      <alignment wrapText="1"/>
      <protection locked="0"/>
    </xf>
    <xf numFmtId="3" fontId="4" fillId="0" borderId="18" xfId="57" applyNumberFormat="1" applyFont="1" applyBorder="1" applyProtection="1">
      <alignment/>
      <protection locked="0"/>
    </xf>
    <xf numFmtId="3" fontId="4" fillId="0" borderId="10" xfId="57" applyNumberFormat="1" applyFont="1" applyBorder="1" applyAlignment="1" applyProtection="1">
      <alignment wrapText="1"/>
      <protection locked="0"/>
    </xf>
    <xf numFmtId="0" fontId="4" fillId="34" borderId="17" xfId="0" applyFont="1" applyFill="1" applyBorder="1" applyAlignment="1" applyProtection="1">
      <alignment wrapText="1"/>
      <protection locked="0"/>
    </xf>
    <xf numFmtId="1" fontId="4" fillId="35" borderId="10" xfId="57" applyNumberFormat="1" applyFont="1" applyFill="1" applyBorder="1" applyProtection="1">
      <alignment/>
      <protection locked="0"/>
    </xf>
    <xf numFmtId="0" fontId="5" fillId="35" borderId="13" xfId="57" applyFont="1" applyFill="1" applyBorder="1" applyAlignment="1" applyProtection="1">
      <alignment wrapText="1"/>
      <protection locked="0"/>
    </xf>
    <xf numFmtId="1" fontId="4" fillId="35" borderId="13" xfId="57" applyNumberFormat="1" applyFont="1" applyFill="1" applyBorder="1" applyProtection="1">
      <alignment/>
      <protection locked="0"/>
    </xf>
    <xf numFmtId="0" fontId="4" fillId="35" borderId="13" xfId="57" applyFont="1" applyFill="1" applyBorder="1" applyAlignment="1" applyProtection="1">
      <alignment horizontal="center"/>
      <protection locked="0"/>
    </xf>
    <xf numFmtId="1" fontId="4" fillId="35" borderId="13" xfId="57" applyNumberFormat="1" applyFont="1" applyFill="1" applyBorder="1" applyAlignment="1" applyProtection="1">
      <alignment horizontal="center"/>
      <protection locked="0"/>
    </xf>
    <xf numFmtId="3" fontId="4" fillId="35" borderId="13" xfId="57" applyNumberFormat="1" applyFont="1" applyFill="1" applyBorder="1" applyProtection="1">
      <alignment/>
      <protection locked="0"/>
    </xf>
    <xf numFmtId="3" fontId="5" fillId="35" borderId="13" xfId="57" applyNumberFormat="1" applyFont="1" applyFill="1" applyBorder="1" applyAlignment="1" applyProtection="1">
      <alignment horizontal="right"/>
      <protection locked="0"/>
    </xf>
    <xf numFmtId="3" fontId="4" fillId="36" borderId="14" xfId="57" applyNumberFormat="1" applyFont="1" applyFill="1" applyBorder="1" applyAlignment="1" applyProtection="1">
      <alignment horizontal="center" wrapText="1"/>
      <protection locked="0"/>
    </xf>
    <xf numFmtId="1" fontId="4" fillId="36" borderId="14" xfId="57" applyNumberFormat="1" applyFont="1" applyFill="1" applyBorder="1" applyAlignment="1" applyProtection="1">
      <alignment horizontal="center" wrapText="1"/>
      <protection locked="0"/>
    </xf>
    <xf numFmtId="1" fontId="4" fillId="36" borderId="22" xfId="57" applyNumberFormat="1" applyFont="1" applyFill="1" applyBorder="1" applyAlignment="1" applyProtection="1">
      <alignment horizontal="center" vertical="center" wrapText="1"/>
      <protection locked="0"/>
    </xf>
    <xf numFmtId="3" fontId="4" fillId="34" borderId="23" xfId="57" applyNumberFormat="1" applyFont="1" applyFill="1" applyBorder="1" applyAlignment="1" applyProtection="1">
      <alignment wrapText="1"/>
      <protection locked="0"/>
    </xf>
    <xf numFmtId="1" fontId="4" fillId="34" borderId="24" xfId="57" applyNumberFormat="1" applyFont="1" applyFill="1" applyBorder="1" applyAlignment="1" applyProtection="1">
      <alignment horizontal="center"/>
      <protection locked="0"/>
    </xf>
    <xf numFmtId="9" fontId="4" fillId="34" borderId="24" xfId="60" applyFont="1" applyFill="1" applyBorder="1" applyAlignment="1" applyProtection="1">
      <alignment horizontal="center"/>
      <protection locked="0"/>
    </xf>
    <xf numFmtId="1" fontId="4" fillId="0" borderId="24" xfId="57" applyNumberFormat="1" applyFont="1" applyBorder="1" applyProtection="1">
      <alignment/>
      <protection locked="0"/>
    </xf>
    <xf numFmtId="192" fontId="4" fillId="0" borderId="24" xfId="57" applyNumberFormat="1" applyFont="1" applyFill="1" applyBorder="1" applyProtection="1">
      <alignment/>
      <protection locked="0"/>
    </xf>
    <xf numFmtId="3" fontId="4" fillId="0" borderId="25" xfId="57" applyNumberFormat="1" applyFont="1" applyBorder="1" applyAlignment="1" applyProtection="1">
      <alignment horizontal="right"/>
      <protection locked="0"/>
    </xf>
    <xf numFmtId="0" fontId="4" fillId="34" borderId="25" xfId="0" applyFont="1" applyFill="1" applyBorder="1" applyAlignment="1" applyProtection="1">
      <alignment wrapText="1"/>
      <protection locked="0"/>
    </xf>
    <xf numFmtId="0" fontId="4" fillId="34" borderId="24" xfId="0" applyFont="1" applyFill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/>
      <protection locked="0"/>
    </xf>
    <xf numFmtId="192" fontId="4" fillId="35" borderId="10" xfId="57" applyNumberFormat="1" applyFont="1" applyFill="1" applyBorder="1" applyProtection="1">
      <alignment/>
      <protection locked="0"/>
    </xf>
    <xf numFmtId="192" fontId="4" fillId="0" borderId="24" xfId="57" applyNumberFormat="1" applyFont="1" applyBorder="1" applyProtection="1">
      <alignment/>
      <protection locked="0"/>
    </xf>
    <xf numFmtId="0" fontId="5" fillId="35" borderId="10" xfId="57" applyFont="1" applyFill="1" applyBorder="1" applyAlignment="1" applyProtection="1">
      <alignment/>
      <protection locked="0"/>
    </xf>
    <xf numFmtId="3" fontId="4" fillId="0" borderId="23" xfId="57" applyNumberFormat="1" applyFont="1" applyBorder="1" applyAlignment="1" applyProtection="1">
      <alignment wrapText="1"/>
      <protection locked="0"/>
    </xf>
    <xf numFmtId="1" fontId="4" fillId="0" borderId="24" xfId="57" applyNumberFormat="1" applyFont="1" applyFill="1" applyBorder="1" applyAlignment="1" applyProtection="1">
      <alignment horizontal="center"/>
      <protection locked="0"/>
    </xf>
    <xf numFmtId="9" fontId="4" fillId="0" borderId="24" xfId="60" applyFont="1" applyBorder="1" applyAlignment="1" applyProtection="1">
      <alignment horizontal="center"/>
      <protection locked="0"/>
    </xf>
    <xf numFmtId="3" fontId="4" fillId="0" borderId="12" xfId="57" applyNumberFormat="1" applyFont="1" applyBorder="1" applyAlignment="1" applyProtection="1">
      <alignment wrapText="1"/>
      <protection locked="0"/>
    </xf>
    <xf numFmtId="1" fontId="4" fillId="0" borderId="13" xfId="57" applyNumberFormat="1" applyFont="1" applyBorder="1" applyAlignment="1" applyProtection="1">
      <alignment horizontal="center"/>
      <protection locked="0"/>
    </xf>
    <xf numFmtId="1" fontId="4" fillId="0" borderId="13" xfId="57" applyNumberFormat="1" applyFont="1" applyFill="1" applyBorder="1" applyAlignment="1" applyProtection="1">
      <alignment horizontal="center"/>
      <protection locked="0"/>
    </xf>
    <xf numFmtId="3" fontId="4" fillId="0" borderId="25" xfId="57" applyNumberFormat="1" applyFont="1" applyBorder="1" applyProtection="1">
      <alignment/>
      <protection locked="0"/>
    </xf>
    <xf numFmtId="0" fontId="4" fillId="0" borderId="13" xfId="57" applyFont="1" applyBorder="1" applyAlignment="1" applyProtection="1">
      <alignment horizontal="center"/>
      <protection locked="0"/>
    </xf>
    <xf numFmtId="1" fontId="4" fillId="0" borderId="24" xfId="57" applyNumberFormat="1" applyFont="1" applyBorder="1" applyAlignment="1" applyProtection="1">
      <alignment horizontal="center"/>
      <protection locked="0"/>
    </xf>
    <xf numFmtId="0" fontId="4" fillId="0" borderId="24" xfId="57" applyFont="1" applyBorder="1" applyAlignment="1" applyProtection="1">
      <alignment horizontal="center"/>
      <protection locked="0"/>
    </xf>
    <xf numFmtId="9" fontId="4" fillId="0" borderId="13" xfId="60" applyFont="1" applyBorder="1" applyAlignment="1" applyProtection="1">
      <alignment horizontal="center"/>
      <protection locked="0"/>
    </xf>
    <xf numFmtId="192" fontId="4" fillId="0" borderId="13" xfId="57" applyNumberFormat="1" applyFont="1" applyFill="1" applyBorder="1" applyProtection="1">
      <alignment/>
      <protection locked="0"/>
    </xf>
    <xf numFmtId="3" fontId="8" fillId="36" borderId="14" xfId="57" applyNumberFormat="1" applyFont="1" applyFill="1" applyBorder="1" applyAlignment="1" applyProtection="1">
      <alignment horizontal="center" wrapText="1"/>
      <protection locked="0"/>
    </xf>
    <xf numFmtId="1" fontId="8" fillId="36" borderId="14" xfId="57" applyNumberFormat="1" applyFont="1" applyFill="1" applyBorder="1" applyAlignment="1" applyProtection="1">
      <alignment horizontal="center" wrapText="1"/>
      <protection locked="0"/>
    </xf>
    <xf numFmtId="1" fontId="8" fillId="36" borderId="22" xfId="57" applyNumberFormat="1" applyFont="1" applyFill="1" applyBorder="1" applyAlignment="1" applyProtection="1">
      <alignment horizontal="center" vertical="center" wrapText="1"/>
      <protection locked="0"/>
    </xf>
    <xf numFmtId="0" fontId="5" fillId="37" borderId="10" xfId="57" applyFont="1" applyFill="1" applyBorder="1" applyAlignment="1" applyProtection="1">
      <alignment wrapText="1"/>
      <protection locked="0"/>
    </xf>
    <xf numFmtId="1" fontId="4" fillId="37" borderId="10" xfId="57" applyNumberFormat="1" applyFont="1" applyFill="1" applyBorder="1" applyProtection="1">
      <alignment/>
      <protection locked="0"/>
    </xf>
    <xf numFmtId="0" fontId="4" fillId="37" borderId="10" xfId="57" applyFont="1" applyFill="1" applyBorder="1" applyAlignment="1" applyProtection="1">
      <alignment horizontal="center"/>
      <protection locked="0"/>
    </xf>
    <xf numFmtId="1" fontId="4" fillId="37" borderId="10" xfId="57" applyNumberFormat="1" applyFont="1" applyFill="1" applyBorder="1" applyAlignment="1" applyProtection="1">
      <alignment horizontal="center"/>
      <protection locked="0"/>
    </xf>
    <xf numFmtId="192" fontId="4" fillId="37" borderId="10" xfId="57" applyNumberFormat="1" applyFont="1" applyFill="1" applyBorder="1" applyProtection="1">
      <alignment/>
      <protection locked="0"/>
    </xf>
    <xf numFmtId="3" fontId="5" fillId="37" borderId="10" xfId="57" applyNumberFormat="1" applyFont="1" applyFill="1" applyBorder="1" applyAlignment="1" applyProtection="1">
      <alignment horizontal="right"/>
      <protection locked="0"/>
    </xf>
    <xf numFmtId="0" fontId="4" fillId="37" borderId="10" xfId="0" applyFont="1" applyFill="1" applyBorder="1" applyAlignment="1" applyProtection="1">
      <alignment wrapText="1"/>
      <protection locked="0"/>
    </xf>
    <xf numFmtId="0" fontId="4" fillId="37" borderId="10" xfId="0" applyFont="1" applyFill="1" applyBorder="1" applyAlignment="1" applyProtection="1">
      <alignment/>
      <protection locked="0"/>
    </xf>
    <xf numFmtId="0" fontId="5" fillId="37" borderId="10" xfId="57" applyFont="1" applyFill="1" applyBorder="1" applyAlignment="1" applyProtection="1">
      <alignment/>
      <protection locked="0"/>
    </xf>
    <xf numFmtId="1" fontId="4" fillId="37" borderId="10" xfId="57" applyNumberFormat="1" applyFont="1" applyFill="1" applyBorder="1" applyAlignment="1" applyProtection="1">
      <alignment/>
      <protection locked="0"/>
    </xf>
    <xf numFmtId="3" fontId="6" fillId="34" borderId="23" xfId="57" applyNumberFormat="1" applyFont="1" applyFill="1" applyBorder="1" applyAlignment="1" applyProtection="1">
      <alignment wrapText="1"/>
      <protection locked="0"/>
    </xf>
    <xf numFmtId="3" fontId="46" fillId="34" borderId="12" xfId="57" applyNumberFormat="1" applyFont="1" applyFill="1" applyBorder="1" applyAlignment="1" applyProtection="1">
      <alignment wrapText="1"/>
      <protection locked="0"/>
    </xf>
    <xf numFmtId="1" fontId="46" fillId="34" borderId="13" xfId="57" applyNumberFormat="1" applyFont="1" applyFill="1" applyBorder="1" applyAlignment="1" applyProtection="1">
      <alignment horizontal="center"/>
      <protection locked="0"/>
    </xf>
    <xf numFmtId="192" fontId="4" fillId="37" borderId="10" xfId="57" applyNumberFormat="1" applyFont="1" applyFill="1" applyBorder="1" applyAlignment="1" applyProtection="1">
      <alignment/>
      <protection locked="0"/>
    </xf>
    <xf numFmtId="3" fontId="6" fillId="0" borderId="23" xfId="57" applyNumberFormat="1" applyFont="1" applyBorder="1" applyAlignment="1" applyProtection="1">
      <alignment wrapText="1"/>
      <protection locked="0"/>
    </xf>
    <xf numFmtId="0" fontId="4" fillId="36" borderId="26" xfId="57" applyFont="1" applyFill="1" applyBorder="1" applyAlignment="1" applyProtection="1">
      <alignment horizontal="center" wrapText="1"/>
      <protection locked="0"/>
    </xf>
    <xf numFmtId="0" fontId="4" fillId="36" borderId="14" xfId="57" applyFont="1" applyFill="1" applyBorder="1" applyAlignment="1" applyProtection="1">
      <alignment horizontal="center" wrapText="1"/>
      <protection locked="0"/>
    </xf>
    <xf numFmtId="3" fontId="4" fillId="36" borderId="16" xfId="57" applyNumberFormat="1" applyFont="1" applyFill="1" applyBorder="1" applyAlignment="1" applyProtection="1">
      <alignment horizontal="center" wrapText="1"/>
      <protection locked="0"/>
    </xf>
    <xf numFmtId="0" fontId="8" fillId="36" borderId="26" xfId="57" applyFont="1" applyFill="1" applyBorder="1" applyAlignment="1" applyProtection="1">
      <alignment horizontal="center" wrapText="1"/>
      <protection locked="0"/>
    </xf>
    <xf numFmtId="1" fontId="8" fillId="36" borderId="14" xfId="57" applyNumberFormat="1" applyFont="1" applyFill="1" applyBorder="1" applyAlignment="1" applyProtection="1">
      <alignment horizontal="center"/>
      <protection locked="0"/>
    </xf>
    <xf numFmtId="0" fontId="8" fillId="36" borderId="14" xfId="57" applyFont="1" applyFill="1" applyBorder="1" applyAlignment="1" applyProtection="1">
      <alignment horizontal="center"/>
      <protection locked="0"/>
    </xf>
    <xf numFmtId="0" fontId="8" fillId="36" borderId="14" xfId="57" applyFont="1" applyFill="1" applyBorder="1" applyAlignment="1" applyProtection="1">
      <alignment horizontal="center" wrapText="1"/>
      <protection locked="0"/>
    </xf>
    <xf numFmtId="3" fontId="8" fillId="36" borderId="16" xfId="57" applyNumberFormat="1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3" fontId="5" fillId="35" borderId="13" xfId="57" applyNumberFormat="1" applyFont="1" applyFill="1" applyBorder="1" applyAlignment="1" applyProtection="1">
      <alignment wrapText="1"/>
      <protection locked="0"/>
    </xf>
    <xf numFmtId="3" fontId="4" fillId="0" borderId="18" xfId="57" applyNumberFormat="1" applyFont="1" applyFill="1" applyBorder="1" applyAlignment="1">
      <alignment horizontal="right" vertical="center"/>
      <protection/>
    </xf>
    <xf numFmtId="1" fontId="4" fillId="0" borderId="10" xfId="57" applyNumberFormat="1" applyFont="1" applyFill="1" applyBorder="1">
      <alignment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1" fontId="4" fillId="34" borderId="0" xfId="57" applyNumberFormat="1" applyFont="1" applyFill="1" applyBorder="1" applyAlignment="1" applyProtection="1">
      <alignment horizontal="center" vertical="center" wrapText="1"/>
      <protection locked="0"/>
    </xf>
    <xf numFmtId="3" fontId="5" fillId="34" borderId="0" xfId="57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0" xfId="57" applyFont="1" applyFill="1" applyBorder="1" applyAlignment="1" applyProtection="1">
      <alignment horizontal="center"/>
      <protection locked="0"/>
    </xf>
    <xf numFmtId="1" fontId="4" fillId="34" borderId="0" xfId="57" applyNumberFormat="1" applyFont="1" applyFill="1" applyBorder="1" applyAlignment="1" applyProtection="1">
      <alignment horizontal="center"/>
      <protection locked="0"/>
    </xf>
    <xf numFmtId="0" fontId="5" fillId="34" borderId="0" xfId="57" applyFont="1" applyFill="1" applyBorder="1" applyAlignment="1" applyProtection="1">
      <alignment wrapText="1"/>
      <protection locked="0"/>
    </xf>
    <xf numFmtId="0" fontId="4" fillId="34" borderId="0" xfId="0" applyFont="1" applyFill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5" fillId="35" borderId="13" xfId="57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3" fontId="5" fillId="35" borderId="10" xfId="57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35" borderId="10" xfId="57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" fontId="4" fillId="35" borderId="10" xfId="57" applyNumberFormat="1" applyFont="1" applyFill="1" applyBorder="1" applyAlignment="1" applyProtection="1">
      <alignment horizontal="center" wrapText="1"/>
      <protection locked="0"/>
    </xf>
    <xf numFmtId="0" fontId="4" fillId="34" borderId="2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wrapText="1"/>
    </xf>
    <xf numFmtId="3" fontId="5" fillId="37" borderId="10" xfId="57" applyNumberFormat="1" applyFont="1" applyFill="1" applyBorder="1" applyAlignment="1" applyProtection="1">
      <alignment horizontal="right" wrapText="1"/>
      <protection locked="0"/>
    </xf>
    <xf numFmtId="1" fontId="4" fillId="37" borderId="10" xfId="57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/>
    </xf>
    <xf numFmtId="0" fontId="4" fillId="37" borderId="10" xfId="57" applyFont="1" applyFill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27" xfId="0" applyFont="1" applyBorder="1" applyAlignment="1" applyProtection="1">
      <alignment/>
      <protection locked="0"/>
    </xf>
    <xf numFmtId="3" fontId="4" fillId="0" borderId="10" xfId="0" applyNumberFormat="1" applyFont="1" applyBorder="1" applyAlignment="1">
      <alignment wrapText="1"/>
    </xf>
    <xf numFmtId="0" fontId="4" fillId="0" borderId="18" xfId="0" applyFont="1" applyBorder="1" applyAlignment="1" applyProtection="1">
      <alignment wrapText="1"/>
      <protection locked="0"/>
    </xf>
    <xf numFmtId="0" fontId="4" fillId="38" borderId="10" xfId="0" applyFont="1" applyFill="1" applyBorder="1" applyAlignment="1">
      <alignment wrapText="1"/>
    </xf>
    <xf numFmtId="0" fontId="4" fillId="38" borderId="10" xfId="0" applyFont="1" applyFill="1" applyBorder="1" applyAlignment="1" applyProtection="1">
      <alignment wrapText="1"/>
      <protection locked="0"/>
    </xf>
    <xf numFmtId="0" fontId="47" fillId="34" borderId="23" xfId="57" applyFont="1" applyFill="1" applyBorder="1" applyAlignment="1" applyProtection="1">
      <alignment wrapText="1"/>
      <protection locked="0"/>
    </xf>
    <xf numFmtId="1" fontId="47" fillId="34" borderId="24" xfId="57" applyNumberFormat="1" applyFont="1" applyFill="1" applyBorder="1" applyAlignment="1" applyProtection="1">
      <alignment horizontal="center"/>
      <protection locked="0"/>
    </xf>
    <xf numFmtId="1" fontId="47" fillId="34" borderId="24" xfId="57" applyNumberFormat="1" applyFont="1" applyFill="1" applyBorder="1" applyAlignment="1" applyProtection="1">
      <alignment horizontal="center" wrapText="1"/>
      <protection locked="0"/>
    </xf>
    <xf numFmtId="1" fontId="4" fillId="34" borderId="24" xfId="57" applyNumberFormat="1" applyFont="1" applyFill="1" applyBorder="1" applyProtection="1">
      <alignment/>
      <protection locked="0"/>
    </xf>
    <xf numFmtId="192" fontId="4" fillId="34" borderId="24" xfId="57" applyNumberFormat="1" applyFont="1" applyFill="1" applyBorder="1" applyProtection="1">
      <alignment/>
      <protection locked="0"/>
    </xf>
    <xf numFmtId="3" fontId="4" fillId="34" borderId="25" xfId="57" applyNumberFormat="1" applyFont="1" applyFill="1" applyBorder="1" applyAlignment="1" applyProtection="1">
      <alignment horizontal="right"/>
      <protection locked="0"/>
    </xf>
    <xf numFmtId="0" fontId="47" fillId="34" borderId="25" xfId="0" applyFont="1" applyFill="1" applyBorder="1" applyAlignment="1" applyProtection="1">
      <alignment wrapText="1"/>
      <protection locked="0"/>
    </xf>
    <xf numFmtId="1" fontId="4" fillId="34" borderId="13" xfId="57" applyNumberFormat="1" applyFont="1" applyFill="1" applyBorder="1" applyAlignment="1" applyProtection="1">
      <alignment horizontal="center" wrapText="1"/>
      <protection locked="0"/>
    </xf>
    <xf numFmtId="3" fontId="4" fillId="34" borderId="10" xfId="57" applyNumberFormat="1" applyFont="1" applyFill="1" applyBorder="1" applyAlignment="1" applyProtection="1">
      <alignment horizontal="right"/>
      <protection locked="0"/>
    </xf>
    <xf numFmtId="3" fontId="4" fillId="34" borderId="10" xfId="0" applyNumberFormat="1" applyFont="1" applyFill="1" applyBorder="1" applyAlignment="1" applyProtection="1">
      <alignment wrapText="1"/>
      <protection locked="0"/>
    </xf>
    <xf numFmtId="3" fontId="4" fillId="34" borderId="10" xfId="0" applyNumberFormat="1" applyFont="1" applyFill="1" applyBorder="1" applyAlignment="1" applyProtection="1">
      <alignment/>
      <protection locked="0"/>
    </xf>
    <xf numFmtId="3" fontId="8" fillId="36" borderId="28" xfId="57" applyNumberFormat="1" applyFont="1" applyFill="1" applyBorder="1" applyAlignment="1">
      <alignment horizontal="center" wrapText="1"/>
      <protection/>
    </xf>
    <xf numFmtId="3" fontId="8" fillId="36" borderId="29" xfId="57" applyNumberFormat="1" applyFont="1" applyFill="1" applyBorder="1" applyAlignment="1">
      <alignment horizontal="center" wrapText="1"/>
      <protection/>
    </xf>
    <xf numFmtId="0" fontId="5" fillId="35" borderId="27" xfId="57" applyFont="1" applyFill="1" applyBorder="1" applyAlignment="1" applyProtection="1">
      <alignment wrapText="1"/>
      <protection locked="0"/>
    </xf>
    <xf numFmtId="0" fontId="4" fillId="34" borderId="27" xfId="0" applyFont="1" applyFill="1" applyBorder="1" applyAlignment="1">
      <alignment wrapText="1"/>
    </xf>
    <xf numFmtId="0" fontId="4" fillId="34" borderId="20" xfId="0" applyFont="1" applyFill="1" applyBorder="1" applyAlignment="1">
      <alignment wrapText="1"/>
    </xf>
    <xf numFmtId="1" fontId="4" fillId="0" borderId="20" xfId="57" applyNumberFormat="1" applyFont="1" applyFill="1" applyBorder="1">
      <alignment/>
      <protection/>
    </xf>
    <xf numFmtId="3" fontId="5" fillId="35" borderId="29" xfId="57" applyNumberFormat="1" applyFont="1" applyFill="1" applyBorder="1" applyAlignment="1">
      <alignment horizontal="right"/>
      <protection/>
    </xf>
    <xf numFmtId="0" fontId="46" fillId="34" borderId="20" xfId="57" applyFont="1" applyFill="1" applyBorder="1" applyAlignment="1">
      <alignment wrapText="1"/>
      <protection/>
    </xf>
    <xf numFmtId="3" fontId="8" fillId="36" borderId="22" xfId="57" applyNumberFormat="1" applyFont="1" applyFill="1" applyBorder="1" applyAlignment="1">
      <alignment horizontal="center" wrapText="1"/>
      <protection/>
    </xf>
    <xf numFmtId="0" fontId="5" fillId="35" borderId="12" xfId="57" applyFont="1" applyFill="1" applyBorder="1" applyAlignment="1" applyProtection="1">
      <alignment wrapText="1"/>
      <protection locked="0"/>
    </xf>
    <xf numFmtId="0" fontId="5" fillId="35" borderId="30" xfId="57" applyFont="1" applyFill="1" applyBorder="1" applyAlignment="1" applyProtection="1">
      <alignment wrapText="1"/>
      <protection locked="0"/>
    </xf>
    <xf numFmtId="0" fontId="4" fillId="34" borderId="3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1" fontId="4" fillId="0" borderId="11" xfId="57" applyNumberFormat="1" applyFont="1" applyFill="1" applyBorder="1">
      <alignment/>
      <protection/>
    </xf>
    <xf numFmtId="1" fontId="4" fillId="0" borderId="19" xfId="57" applyNumberFormat="1" applyFont="1" applyFill="1" applyBorder="1">
      <alignment/>
      <protection/>
    </xf>
    <xf numFmtId="3" fontId="5" fillId="35" borderId="28" xfId="57" applyNumberFormat="1" applyFont="1" applyFill="1" applyBorder="1" applyAlignment="1">
      <alignment horizontal="right"/>
      <protection/>
    </xf>
    <xf numFmtId="3" fontId="5" fillId="35" borderId="22" xfId="57" applyNumberFormat="1" applyFont="1" applyFill="1" applyBorder="1" applyAlignment="1">
      <alignment horizontal="right"/>
      <protection/>
    </xf>
    <xf numFmtId="0" fontId="46" fillId="34" borderId="11" xfId="57" applyFont="1" applyFill="1" applyBorder="1" applyAlignment="1">
      <alignment wrapText="1"/>
      <protection/>
    </xf>
    <xf numFmtId="0" fontId="46" fillId="34" borderId="19" xfId="57" applyFont="1" applyFill="1" applyBorder="1" applyAlignment="1">
      <alignment wrapText="1"/>
      <protection/>
    </xf>
    <xf numFmtId="0" fontId="4" fillId="0" borderId="31" xfId="0" applyFont="1" applyBorder="1" applyAlignment="1">
      <alignment/>
    </xf>
    <xf numFmtId="3" fontId="8" fillId="36" borderId="10" xfId="57" applyNumberFormat="1" applyFont="1" applyFill="1" applyBorder="1" applyAlignment="1">
      <alignment horizontal="center" wrapText="1"/>
      <protection/>
    </xf>
    <xf numFmtId="3" fontId="5" fillId="35" borderId="10" xfId="57" applyNumberFormat="1" applyFont="1" applyFill="1" applyBorder="1" applyAlignment="1" applyProtection="1">
      <alignment wrapText="1"/>
      <protection locked="0"/>
    </xf>
    <xf numFmtId="3" fontId="4" fillId="0" borderId="10" xfId="57" applyNumberFormat="1" applyFont="1" applyFill="1" applyBorder="1" applyAlignment="1">
      <alignment horizontal="right"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3" fontId="5" fillId="35" borderId="10" xfId="57" applyNumberFormat="1" applyFont="1" applyFill="1" applyBorder="1" applyAlignment="1">
      <alignment horizontal="right"/>
      <protection/>
    </xf>
    <xf numFmtId="3" fontId="4" fillId="34" borderId="10" xfId="57" applyNumberFormat="1" applyFont="1" applyFill="1" applyBorder="1" applyAlignment="1">
      <alignment horizontal="right"/>
      <protection/>
    </xf>
    <xf numFmtId="0" fontId="5" fillId="35" borderId="19" xfId="57" applyFont="1" applyFill="1" applyBorder="1" applyAlignment="1" applyProtection="1">
      <alignment wrapText="1"/>
      <protection locked="0"/>
    </xf>
    <xf numFmtId="3" fontId="5" fillId="35" borderId="19" xfId="57" applyNumberFormat="1" applyFont="1" applyFill="1" applyBorder="1" applyAlignment="1">
      <alignment horizontal="right"/>
      <protection/>
    </xf>
    <xf numFmtId="3" fontId="5" fillId="35" borderId="32" xfId="57" applyNumberFormat="1" applyFont="1" applyFill="1" applyBorder="1" applyAlignment="1">
      <alignment horizontal="right"/>
      <protection/>
    </xf>
    <xf numFmtId="0" fontId="4" fillId="33" borderId="0" xfId="0" applyFont="1" applyFill="1" applyBorder="1" applyAlignment="1">
      <alignment/>
    </xf>
    <xf numFmtId="3" fontId="5" fillId="33" borderId="10" xfId="57" applyNumberFormat="1" applyFont="1" applyFill="1" applyBorder="1" applyAlignment="1" applyProtection="1">
      <alignment wrapText="1"/>
      <protection locked="0"/>
    </xf>
    <xf numFmtId="3" fontId="4" fillId="33" borderId="10" xfId="57" applyNumberFormat="1" applyFont="1" applyFill="1" applyBorder="1" applyAlignment="1">
      <alignment horizontal="right"/>
      <protection/>
    </xf>
    <xf numFmtId="3" fontId="4" fillId="33" borderId="10" xfId="57" applyNumberFormat="1" applyFont="1" applyFill="1" applyBorder="1" applyAlignment="1">
      <alignment horizontal="right" vertical="center"/>
      <protection/>
    </xf>
    <xf numFmtId="3" fontId="5" fillId="33" borderId="10" xfId="57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wrapText="1"/>
    </xf>
    <xf numFmtId="0" fontId="46" fillId="33" borderId="10" xfId="57" applyFont="1" applyFill="1" applyBorder="1" applyAlignment="1">
      <alignment wrapText="1"/>
      <protection/>
    </xf>
    <xf numFmtId="3" fontId="5" fillId="39" borderId="10" xfId="57" applyNumberFormat="1" applyFont="1" applyFill="1" applyBorder="1" applyAlignment="1" applyProtection="1">
      <alignment wrapText="1"/>
      <protection locked="0"/>
    </xf>
    <xf numFmtId="0" fontId="4" fillId="39" borderId="10" xfId="0" applyFont="1" applyFill="1" applyBorder="1" applyAlignment="1">
      <alignment/>
    </xf>
    <xf numFmtId="3" fontId="4" fillId="39" borderId="10" xfId="57" applyNumberFormat="1" applyFont="1" applyFill="1" applyBorder="1" applyAlignment="1">
      <alignment horizontal="right"/>
      <protection/>
    </xf>
    <xf numFmtId="3" fontId="4" fillId="39" borderId="10" xfId="57" applyNumberFormat="1" applyFont="1" applyFill="1" applyBorder="1" applyAlignment="1">
      <alignment horizontal="right" vertical="center"/>
      <protection/>
    </xf>
    <xf numFmtId="3" fontId="5" fillId="39" borderId="10" xfId="57" applyNumberFormat="1" applyFont="1" applyFill="1" applyBorder="1" applyAlignment="1">
      <alignment horizontal="right"/>
      <protection/>
    </xf>
    <xf numFmtId="0" fontId="4" fillId="39" borderId="10" xfId="0" applyFont="1" applyFill="1" applyBorder="1" applyAlignment="1">
      <alignment wrapText="1"/>
    </xf>
    <xf numFmtId="0" fontId="46" fillId="39" borderId="10" xfId="57" applyFont="1" applyFill="1" applyBorder="1" applyAlignment="1">
      <alignment wrapText="1"/>
      <protection/>
    </xf>
    <xf numFmtId="3" fontId="8" fillId="35" borderId="30" xfId="57" applyNumberFormat="1" applyFont="1" applyFill="1" applyBorder="1" applyAlignment="1">
      <alignment horizontal="center" wrapText="1"/>
      <protection/>
    </xf>
    <xf numFmtId="0" fontId="4" fillId="35" borderId="10" xfId="0" applyFont="1" applyFill="1" applyBorder="1" applyAlignment="1">
      <alignment/>
    </xf>
    <xf numFmtId="3" fontId="4" fillId="35" borderId="10" xfId="57" applyNumberFormat="1" applyFont="1" applyFill="1" applyBorder="1" applyAlignment="1">
      <alignment horizontal="right"/>
      <protection/>
    </xf>
    <xf numFmtId="0" fontId="4" fillId="35" borderId="19" xfId="0" applyFont="1" applyFill="1" applyBorder="1" applyAlignment="1">
      <alignment wrapText="1"/>
    </xf>
    <xf numFmtId="3" fontId="4" fillId="35" borderId="10" xfId="57" applyNumberFormat="1" applyFont="1" applyFill="1" applyBorder="1" applyAlignment="1">
      <alignment horizontal="right" vertical="center"/>
      <protection/>
    </xf>
    <xf numFmtId="1" fontId="4" fillId="35" borderId="19" xfId="57" applyNumberFormat="1" applyFont="1" applyFill="1" applyBorder="1">
      <alignment/>
      <protection/>
    </xf>
    <xf numFmtId="3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6" fillId="35" borderId="10" xfId="57" applyFont="1" applyFill="1" applyBorder="1" applyAlignment="1">
      <alignment wrapText="1"/>
      <protection/>
    </xf>
    <xf numFmtId="0" fontId="46" fillId="35" borderId="19" xfId="57" applyFont="1" applyFill="1" applyBorder="1" applyAlignment="1">
      <alignment wrapText="1"/>
      <protection/>
    </xf>
    <xf numFmtId="0" fontId="8" fillId="36" borderId="10" xfId="57" applyFont="1" applyFill="1" applyBorder="1" applyAlignment="1">
      <alignment horizontal="center" wrapText="1"/>
      <protection/>
    </xf>
    <xf numFmtId="1" fontId="8" fillId="36" borderId="10" xfId="57" applyNumberFormat="1" applyFont="1" applyFill="1" applyBorder="1" applyAlignment="1">
      <alignment horizontal="center"/>
      <protection/>
    </xf>
    <xf numFmtId="0" fontId="8" fillId="36" borderId="10" xfId="57" applyFont="1" applyFill="1" applyBorder="1" applyAlignment="1">
      <alignment horizontal="center"/>
      <protection/>
    </xf>
    <xf numFmtId="3" fontId="8" fillId="33" borderId="10" xfId="57" applyNumberFormat="1" applyFont="1" applyFill="1" applyBorder="1" applyAlignment="1">
      <alignment horizontal="center" wrapText="1"/>
      <protection/>
    </xf>
    <xf numFmtId="3" fontId="8" fillId="39" borderId="10" xfId="57" applyNumberFormat="1" applyFont="1" applyFill="1" applyBorder="1" applyAlignment="1">
      <alignment horizontal="center" wrapText="1"/>
      <protection/>
    </xf>
    <xf numFmtId="3" fontId="8" fillId="35" borderId="10" xfId="57" applyNumberFormat="1" applyFont="1" applyFill="1" applyBorder="1" applyAlignment="1">
      <alignment horizontal="center" wrapText="1"/>
      <protection/>
    </xf>
    <xf numFmtId="0" fontId="5" fillId="33" borderId="10" xfId="57" applyFont="1" applyFill="1" applyBorder="1" applyAlignment="1" applyProtection="1">
      <alignment wrapText="1"/>
      <protection locked="0"/>
    </xf>
    <xf numFmtId="0" fontId="5" fillId="39" borderId="10" xfId="57" applyFont="1" applyFill="1" applyBorder="1" applyAlignment="1" applyProtection="1">
      <alignment wrapText="1"/>
      <protection locked="0"/>
    </xf>
    <xf numFmtId="1" fontId="4" fillId="33" borderId="10" xfId="57" applyNumberFormat="1" applyFont="1" applyFill="1" applyBorder="1">
      <alignment/>
      <protection/>
    </xf>
    <xf numFmtId="1" fontId="4" fillId="39" borderId="10" xfId="57" applyNumberFormat="1" applyFont="1" applyFill="1" applyBorder="1">
      <alignment/>
      <protection/>
    </xf>
    <xf numFmtId="1" fontId="4" fillId="35" borderId="10" xfId="57" applyNumberFormat="1" applyFont="1" applyFill="1" applyBorder="1">
      <alignment/>
      <protection/>
    </xf>
    <xf numFmtId="0" fontId="4" fillId="34" borderId="10" xfId="57" applyFont="1" applyFill="1" applyBorder="1" applyAlignment="1">
      <alignment wrapText="1"/>
      <protection/>
    </xf>
    <xf numFmtId="1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6" fillId="34" borderId="10" xfId="57" applyNumberFormat="1" applyFont="1" applyFill="1" applyBorder="1" applyAlignment="1" applyProtection="1">
      <alignment wrapText="1"/>
      <protection locked="0"/>
    </xf>
    <xf numFmtId="3" fontId="46" fillId="34" borderId="10" xfId="57" applyNumberFormat="1" applyFont="1" applyFill="1" applyBorder="1" applyAlignment="1">
      <alignment horizontal="right"/>
      <protection/>
    </xf>
    <xf numFmtId="3" fontId="46" fillId="0" borderId="10" xfId="57" applyNumberFormat="1" applyFont="1" applyFill="1" applyBorder="1" applyAlignment="1">
      <alignment horizontal="right"/>
      <protection/>
    </xf>
    <xf numFmtId="192" fontId="4" fillId="34" borderId="10" xfId="57" applyNumberFormat="1" applyFont="1" applyFill="1" applyBorder="1" applyAlignment="1" applyProtection="1">
      <alignment horizontal="right"/>
      <protection locked="0"/>
    </xf>
    <xf numFmtId="1" fontId="4" fillId="34" borderId="24" xfId="57" applyNumberFormat="1" applyFont="1" applyFill="1" applyBorder="1" applyAlignment="1" applyProtection="1">
      <alignment horizontal="center" wrapText="1"/>
      <protection locked="0"/>
    </xf>
    <xf numFmtId="192" fontId="4" fillId="34" borderId="24" xfId="57" applyNumberFormat="1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0" xfId="0" applyFont="1" applyFill="1" applyAlignment="1">
      <alignment/>
    </xf>
    <xf numFmtId="3" fontId="4" fillId="34" borderId="17" xfId="57" applyNumberFormat="1" applyFont="1" applyFill="1" applyBorder="1" applyAlignment="1">
      <alignment horizontal="right"/>
      <protection/>
    </xf>
    <xf numFmtId="3" fontId="4" fillId="34" borderId="24" xfId="57" applyNumberFormat="1" applyFont="1" applyFill="1" applyBorder="1" applyAlignment="1" applyProtection="1">
      <alignment wrapText="1"/>
      <protection locked="0"/>
    </xf>
    <xf numFmtId="9" fontId="4" fillId="34" borderId="24" xfId="61" applyFont="1" applyFill="1" applyBorder="1" applyAlignment="1" applyProtection="1">
      <alignment horizontal="center"/>
      <protection locked="0"/>
    </xf>
    <xf numFmtId="1" fontId="4" fillId="0" borderId="24" xfId="57" applyNumberFormat="1" applyFont="1" applyBorder="1">
      <alignment/>
      <protection/>
    </xf>
    <xf numFmtId="3" fontId="4" fillId="0" borderId="24" xfId="57" applyNumberFormat="1" applyFont="1" applyBorder="1" applyAlignment="1">
      <alignment horizontal="right"/>
      <protection/>
    </xf>
    <xf numFmtId="3" fontId="5" fillId="35" borderId="24" xfId="57" applyNumberFormat="1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>
      <alignment wrapText="1"/>
    </xf>
    <xf numFmtId="0" fontId="4" fillId="33" borderId="24" xfId="0" applyFont="1" applyFill="1" applyBorder="1" applyAlignment="1">
      <alignment/>
    </xf>
    <xf numFmtId="0" fontId="4" fillId="39" borderId="24" xfId="0" applyFont="1" applyFill="1" applyBorder="1" applyAlignment="1">
      <alignment wrapText="1"/>
    </xf>
    <xf numFmtId="0" fontId="4" fillId="39" borderId="24" xfId="0" applyFont="1" applyFill="1" applyBorder="1" applyAlignment="1">
      <alignment/>
    </xf>
    <xf numFmtId="0" fontId="4" fillId="35" borderId="24" xfId="0" applyFont="1" applyFill="1" applyBorder="1" applyAlignment="1">
      <alignment wrapText="1"/>
    </xf>
    <xf numFmtId="0" fontId="4" fillId="35" borderId="24" xfId="0" applyFont="1" applyFill="1" applyBorder="1" applyAlignment="1">
      <alignment/>
    </xf>
    <xf numFmtId="0" fontId="4" fillId="35" borderId="33" xfId="0" applyFont="1" applyFill="1" applyBorder="1" applyAlignment="1">
      <alignment wrapText="1"/>
    </xf>
    <xf numFmtId="0" fontId="4" fillId="34" borderId="34" xfId="0" applyFont="1" applyFill="1" applyBorder="1" applyAlignment="1">
      <alignment wrapText="1"/>
    </xf>
    <xf numFmtId="0" fontId="4" fillId="34" borderId="24" xfId="0" applyFont="1" applyFill="1" applyBorder="1" applyAlignment="1">
      <alignment/>
    </xf>
    <xf numFmtId="0" fontId="4" fillId="34" borderId="33" xfId="0" applyFont="1" applyFill="1" applyBorder="1" applyAlignment="1">
      <alignment wrapText="1"/>
    </xf>
    <xf numFmtId="0" fontId="4" fillId="34" borderId="23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3" fontId="6" fillId="34" borderId="13" xfId="57" applyNumberFormat="1" applyFont="1" applyFill="1" applyBorder="1" applyAlignment="1" applyProtection="1">
      <alignment wrapText="1"/>
      <protection locked="0"/>
    </xf>
    <xf numFmtId="1" fontId="4" fillId="0" borderId="13" xfId="57" applyNumberFormat="1" applyFont="1" applyBorder="1">
      <alignment/>
      <protection/>
    </xf>
    <xf numFmtId="3" fontId="4" fillId="0" borderId="13" xfId="57" applyNumberFormat="1" applyFont="1" applyFill="1" applyBorder="1" applyAlignment="1">
      <alignment horizontal="right"/>
      <protection/>
    </xf>
    <xf numFmtId="0" fontId="4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9" borderId="13" xfId="0" applyFont="1" applyFill="1" applyBorder="1" applyAlignment="1">
      <alignment wrapText="1"/>
    </xf>
    <xf numFmtId="0" fontId="4" fillId="39" borderId="13" xfId="0" applyFont="1" applyFill="1" applyBorder="1" applyAlignment="1">
      <alignment/>
    </xf>
    <xf numFmtId="0" fontId="4" fillId="35" borderId="13" xfId="0" applyFont="1" applyFill="1" applyBorder="1" applyAlignment="1">
      <alignment wrapText="1"/>
    </xf>
    <xf numFmtId="0" fontId="4" fillId="35" borderId="13" xfId="0" applyFont="1" applyFill="1" applyBorder="1" applyAlignment="1">
      <alignment/>
    </xf>
    <xf numFmtId="0" fontId="4" fillId="35" borderId="30" xfId="0" applyFont="1" applyFill="1" applyBorder="1" applyAlignment="1">
      <alignment wrapText="1"/>
    </xf>
    <xf numFmtId="0" fontId="5" fillId="35" borderId="26" xfId="57" applyFont="1" applyFill="1" applyBorder="1" applyAlignment="1" applyProtection="1">
      <alignment wrapText="1"/>
      <protection locked="0"/>
    </xf>
    <xf numFmtId="1" fontId="4" fillId="35" borderId="14" xfId="57" applyNumberFormat="1" applyFont="1" applyFill="1" applyBorder="1" applyProtection="1">
      <alignment/>
      <protection locked="0"/>
    </xf>
    <xf numFmtId="192" fontId="4" fillId="35" borderId="14" xfId="57" applyNumberFormat="1" applyFont="1" applyFill="1" applyBorder="1" applyProtection="1">
      <alignment/>
      <protection locked="0"/>
    </xf>
    <xf numFmtId="3" fontId="5" fillId="35" borderId="14" xfId="57" applyNumberFormat="1" applyFont="1" applyFill="1" applyBorder="1" applyAlignment="1" applyProtection="1">
      <alignment wrapText="1"/>
      <protection locked="0"/>
    </xf>
    <xf numFmtId="3" fontId="5" fillId="33" borderId="14" xfId="57" applyNumberFormat="1" applyFont="1" applyFill="1" applyBorder="1" applyAlignment="1">
      <alignment horizontal="right"/>
      <protection/>
    </xf>
    <xf numFmtId="3" fontId="5" fillId="39" borderId="14" xfId="57" applyNumberFormat="1" applyFont="1" applyFill="1" applyBorder="1" applyAlignment="1">
      <alignment horizontal="right"/>
      <protection/>
    </xf>
    <xf numFmtId="3" fontId="5" fillId="35" borderId="14" xfId="57" applyNumberFormat="1" applyFont="1" applyFill="1" applyBorder="1" applyAlignment="1">
      <alignment horizontal="right"/>
      <protection/>
    </xf>
    <xf numFmtId="3" fontId="6" fillId="34" borderId="24" xfId="57" applyNumberFormat="1" applyFont="1" applyFill="1" applyBorder="1" applyAlignment="1" applyProtection="1">
      <alignment wrapText="1"/>
      <protection locked="0"/>
    </xf>
    <xf numFmtId="1" fontId="4" fillId="34" borderId="13" xfId="57" applyNumberFormat="1" applyFont="1" applyFill="1" applyBorder="1">
      <alignment/>
      <protection/>
    </xf>
    <xf numFmtId="3" fontId="4" fillId="34" borderId="13" xfId="57" applyNumberFormat="1" applyFont="1" applyFill="1" applyBorder="1" applyAlignment="1">
      <alignment horizontal="right"/>
      <protection/>
    </xf>
    <xf numFmtId="3" fontId="4" fillId="33" borderId="13" xfId="57" applyNumberFormat="1" applyFont="1" applyFill="1" applyBorder="1" applyAlignment="1">
      <alignment horizontal="right"/>
      <protection/>
    </xf>
    <xf numFmtId="3" fontId="4" fillId="39" borderId="13" xfId="57" applyNumberFormat="1" applyFont="1" applyFill="1" applyBorder="1" applyAlignment="1">
      <alignment horizontal="right"/>
      <protection/>
    </xf>
    <xf numFmtId="3" fontId="4" fillId="35" borderId="13" xfId="57" applyNumberFormat="1" applyFont="1" applyFill="1" applyBorder="1" applyAlignment="1">
      <alignment horizontal="right"/>
      <protection/>
    </xf>
    <xf numFmtId="3" fontId="4" fillId="35" borderId="30" xfId="57" applyNumberFormat="1" applyFont="1" applyFill="1" applyBorder="1" applyAlignment="1">
      <alignment horizontal="right"/>
      <protection/>
    </xf>
    <xf numFmtId="3" fontId="4" fillId="34" borderId="30" xfId="57" applyNumberFormat="1" applyFont="1" applyFill="1" applyBorder="1" applyAlignment="1">
      <alignment horizontal="right"/>
      <protection/>
    </xf>
    <xf numFmtId="3" fontId="4" fillId="34" borderId="35" xfId="57" applyNumberFormat="1" applyFont="1" applyFill="1" applyBorder="1" applyAlignment="1">
      <alignment horizontal="right"/>
      <protection/>
    </xf>
    <xf numFmtId="0" fontId="5" fillId="35" borderId="26" xfId="57" applyFont="1" applyFill="1" applyBorder="1" applyAlignment="1" applyProtection="1">
      <alignment/>
      <protection locked="0"/>
    </xf>
    <xf numFmtId="3" fontId="46" fillId="34" borderId="13" xfId="57" applyNumberFormat="1" applyFont="1" applyFill="1" applyBorder="1" applyAlignment="1" applyProtection="1">
      <alignment wrapText="1"/>
      <protection locked="0"/>
    </xf>
    <xf numFmtId="1" fontId="46" fillId="34" borderId="13" xfId="57" applyNumberFormat="1" applyFont="1" applyFill="1" applyBorder="1">
      <alignment/>
      <protection/>
    </xf>
    <xf numFmtId="192" fontId="46" fillId="34" borderId="13" xfId="57" applyNumberFormat="1" applyFont="1" applyFill="1" applyBorder="1" applyProtection="1">
      <alignment/>
      <protection locked="0"/>
    </xf>
    <xf numFmtId="3" fontId="46" fillId="34" borderId="13" xfId="57" applyNumberFormat="1" applyFont="1" applyFill="1" applyBorder="1" applyAlignment="1">
      <alignment horizontal="right"/>
      <protection/>
    </xf>
    <xf numFmtId="0" fontId="4" fillId="34" borderId="12" xfId="0" applyFont="1" applyFill="1" applyBorder="1" applyAlignment="1">
      <alignment wrapText="1"/>
    </xf>
    <xf numFmtId="0" fontId="46" fillId="34" borderId="24" xfId="57" applyFont="1" applyFill="1" applyBorder="1" applyAlignment="1">
      <alignment wrapText="1"/>
      <protection/>
    </xf>
    <xf numFmtId="0" fontId="46" fillId="33" borderId="24" xfId="57" applyFont="1" applyFill="1" applyBorder="1" applyAlignment="1">
      <alignment wrapText="1"/>
      <protection/>
    </xf>
    <xf numFmtId="0" fontId="46" fillId="39" borderId="24" xfId="57" applyFont="1" applyFill="1" applyBorder="1" applyAlignment="1">
      <alignment wrapText="1"/>
      <protection/>
    </xf>
    <xf numFmtId="0" fontId="46" fillId="35" borderId="24" xfId="57" applyFont="1" applyFill="1" applyBorder="1" applyAlignment="1">
      <alignment wrapText="1"/>
      <protection/>
    </xf>
    <xf numFmtId="0" fontId="46" fillId="35" borderId="33" xfId="57" applyFont="1" applyFill="1" applyBorder="1" applyAlignment="1">
      <alignment wrapText="1"/>
      <protection/>
    </xf>
    <xf numFmtId="0" fontId="46" fillId="34" borderId="34" xfId="57" applyFont="1" applyFill="1" applyBorder="1" applyAlignment="1">
      <alignment wrapText="1"/>
      <protection/>
    </xf>
    <xf numFmtId="0" fontId="46" fillId="34" borderId="33" xfId="57" applyFont="1" applyFill="1" applyBorder="1" applyAlignment="1">
      <alignment wrapText="1"/>
      <protection/>
    </xf>
    <xf numFmtId="0" fontId="46" fillId="34" borderId="23" xfId="57" applyFont="1" applyFill="1" applyBorder="1" applyAlignment="1">
      <alignment wrapText="1"/>
      <protection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192" fontId="4" fillId="0" borderId="13" xfId="0" applyNumberFormat="1" applyFont="1" applyBorder="1" applyAlignment="1">
      <alignment/>
    </xf>
    <xf numFmtId="0" fontId="4" fillId="35" borderId="30" xfId="0" applyFont="1" applyFill="1" applyBorder="1" applyAlignment="1">
      <alignment/>
    </xf>
    <xf numFmtId="1" fontId="4" fillId="35" borderId="14" xfId="57" applyNumberFormat="1" applyFont="1" applyFill="1" applyBorder="1" applyAlignment="1" applyProtection="1">
      <alignment/>
      <protection locked="0"/>
    </xf>
    <xf numFmtId="192" fontId="4" fillId="35" borderId="14" xfId="57" applyNumberFormat="1" applyFont="1" applyFill="1" applyBorder="1" applyAlignment="1" applyProtection="1">
      <alignment/>
      <protection locked="0"/>
    </xf>
    <xf numFmtId="0" fontId="4" fillId="37" borderId="26" xfId="0" applyFont="1" applyFill="1" applyBorder="1" applyAlignment="1" applyProtection="1">
      <alignment horizontal="center"/>
      <protection locked="0"/>
    </xf>
    <xf numFmtId="0" fontId="4" fillId="37" borderId="14" xfId="0" applyFont="1" applyFill="1" applyBorder="1" applyAlignment="1" applyProtection="1">
      <alignment horizontal="center"/>
      <protection locked="0"/>
    </xf>
    <xf numFmtId="0" fontId="4" fillId="37" borderId="22" xfId="0" applyFont="1" applyFill="1" applyBorder="1" applyAlignment="1" applyProtection="1">
      <alignment horizontal="center"/>
      <protection locked="0"/>
    </xf>
    <xf numFmtId="0" fontId="4" fillId="37" borderId="26" xfId="0" applyFont="1" applyFill="1" applyBorder="1" applyAlignment="1" applyProtection="1">
      <alignment horizontal="center" wrapText="1"/>
      <protection locked="0"/>
    </xf>
    <xf numFmtId="0" fontId="4" fillId="37" borderId="14" xfId="0" applyFont="1" applyFill="1" applyBorder="1" applyAlignment="1" applyProtection="1">
      <alignment horizontal="center" wrapText="1"/>
      <protection locked="0"/>
    </xf>
    <xf numFmtId="0" fontId="4" fillId="37" borderId="22" xfId="0" applyFont="1" applyFill="1" applyBorder="1" applyAlignment="1" applyProtection="1">
      <alignment horizontal="center" wrapText="1"/>
      <protection locked="0"/>
    </xf>
    <xf numFmtId="0" fontId="7" fillId="33" borderId="2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36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left"/>
      <protection locked="0"/>
    </xf>
    <xf numFmtId="0" fontId="7" fillId="33" borderId="18" xfId="0" applyFont="1" applyFill="1" applyBorder="1" applyAlignment="1" applyProtection="1">
      <alignment horizontal="left" wrapText="1"/>
      <protection/>
    </xf>
    <xf numFmtId="0" fontId="7" fillId="33" borderId="36" xfId="0" applyFont="1" applyFill="1" applyBorder="1" applyAlignment="1" applyProtection="1">
      <alignment horizontal="left" wrapText="1"/>
      <protection/>
    </xf>
    <xf numFmtId="0" fontId="7" fillId="33" borderId="2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4" fillId="37" borderId="28" xfId="0" applyFont="1" applyFill="1" applyBorder="1" applyAlignment="1" applyProtection="1">
      <alignment horizontal="center"/>
      <protection locked="0"/>
    </xf>
    <xf numFmtId="0" fontId="4" fillId="37" borderId="29" xfId="0" applyFont="1" applyFill="1" applyBorder="1" applyAlignment="1" applyProtection="1">
      <alignment horizontal="center"/>
      <protection locked="0"/>
    </xf>
    <xf numFmtId="0" fontId="4" fillId="37" borderId="37" xfId="0" applyFont="1" applyFill="1" applyBorder="1" applyAlignment="1" applyProtection="1">
      <alignment horizontal="center"/>
      <protection locked="0"/>
    </xf>
    <xf numFmtId="3" fontId="8" fillId="35" borderId="38" xfId="57" applyNumberFormat="1" applyFont="1" applyFill="1" applyBorder="1" applyAlignment="1">
      <alignment horizontal="center" wrapText="1"/>
      <protection/>
    </xf>
    <xf numFmtId="3" fontId="8" fillId="35" borderId="39" xfId="57" applyNumberFormat="1" applyFont="1" applyFill="1" applyBorder="1" applyAlignment="1">
      <alignment horizontal="center" wrapText="1"/>
      <protection/>
    </xf>
    <xf numFmtId="3" fontId="8" fillId="35" borderId="22" xfId="57" applyNumberFormat="1" applyFont="1" applyFill="1" applyBorder="1" applyAlignment="1">
      <alignment horizontal="center" wrapText="1"/>
      <protection/>
    </xf>
    <xf numFmtId="3" fontId="8" fillId="36" borderId="29" xfId="57" applyNumberFormat="1" applyFont="1" applyFill="1" applyBorder="1" applyAlignment="1">
      <alignment horizontal="center" wrapText="1"/>
      <protection/>
    </xf>
    <xf numFmtId="3" fontId="8" fillId="36" borderId="37" xfId="57" applyNumberFormat="1" applyFont="1" applyFill="1" applyBorder="1" applyAlignment="1">
      <alignment horizontal="center" wrapText="1"/>
      <protection/>
    </xf>
    <xf numFmtId="3" fontId="8" fillId="36" borderId="28" xfId="57" applyNumberFormat="1" applyFont="1" applyFill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left" wrapText="1"/>
    </xf>
    <xf numFmtId="3" fontId="8" fillId="33" borderId="38" xfId="57" applyNumberFormat="1" applyFont="1" applyFill="1" applyBorder="1" applyAlignment="1">
      <alignment horizontal="center" wrapText="1"/>
      <protection/>
    </xf>
    <xf numFmtId="3" fontId="8" fillId="33" borderId="39" xfId="57" applyNumberFormat="1" applyFont="1" applyFill="1" applyBorder="1" applyAlignment="1">
      <alignment horizontal="center" wrapText="1"/>
      <protection/>
    </xf>
    <xf numFmtId="3" fontId="8" fillId="33" borderId="40" xfId="57" applyNumberFormat="1" applyFont="1" applyFill="1" applyBorder="1" applyAlignment="1">
      <alignment horizontal="center" wrapText="1"/>
      <protection/>
    </xf>
    <xf numFmtId="3" fontId="8" fillId="39" borderId="38" xfId="57" applyNumberFormat="1" applyFont="1" applyFill="1" applyBorder="1" applyAlignment="1">
      <alignment horizontal="center" wrapText="1"/>
      <protection/>
    </xf>
    <xf numFmtId="3" fontId="8" fillId="39" borderId="39" xfId="57" applyNumberFormat="1" applyFont="1" applyFill="1" applyBorder="1" applyAlignment="1">
      <alignment horizontal="center" wrapText="1"/>
      <protection/>
    </xf>
    <xf numFmtId="3" fontId="8" fillId="39" borderId="40" xfId="57" applyNumberFormat="1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ster_budget_Haiti_10 - 6 months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k.sc.local\data\Documents%20and%20Settings\aberthoud\Local%20Settings\Temporary%20Internet%20Files\OLK1\Copy%20of%20%20budget%20WASH%20201001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k.sc.local\data\Documents%20Micael%20Sanchez\1%20-%20Haiti\Master%20Budget\Master%20Budget%2020100130\Master_budget_Haiti_10%20-%206%20mon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sh Phase 1"/>
      <sheetName val="Wash Phase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llustration"/>
      <sheetName val="Analysis by sector"/>
      <sheetName val="Analysis by Result"/>
      <sheetName val="Pooled (UK Appeal &amp; &lt; $100K)"/>
      <sheetName val="Top level funding summary"/>
      <sheetName val="Restricted funding"/>
      <sheetName val="Geographical structure"/>
      <sheetName val="Supportcosts"/>
      <sheetName val="Food"/>
      <sheetName val="Nutrition"/>
      <sheetName val="Health"/>
      <sheetName val="Protection"/>
      <sheetName val="Shelter"/>
      <sheetName val="Wash"/>
      <sheetName val="Education"/>
      <sheetName val="Livelihood"/>
      <sheetName val="NFI"/>
    </sheetNames>
    <sheetDataSet>
      <sheetData sheetId="7">
        <row r="39">
          <cell r="B39" t="str">
            <v>PaP</v>
          </cell>
          <cell r="D39" t="str">
            <v/>
          </cell>
        </row>
        <row r="40">
          <cell r="B40" t="str">
            <v>PgL</v>
          </cell>
          <cell r="D40" t="str">
            <v/>
          </cell>
        </row>
        <row r="41">
          <cell r="B41" t="str">
            <v>Jac</v>
          </cell>
          <cell r="D41" t="str">
            <v/>
          </cell>
        </row>
        <row r="42">
          <cell r="B42" t="str">
            <v/>
          </cell>
          <cell r="D42" t="str">
            <v/>
          </cell>
        </row>
        <row r="43">
          <cell r="B43" t="str">
            <v/>
          </cell>
          <cell r="D43" t="str">
            <v/>
          </cell>
        </row>
        <row r="44">
          <cell r="B44" t="str">
            <v/>
          </cell>
          <cell r="D44" t="str">
            <v/>
          </cell>
        </row>
        <row r="45">
          <cell r="B45" t="str">
            <v>PaP</v>
          </cell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3"/>
  <sheetViews>
    <sheetView zoomScale="85" zoomScaleNormal="85" zoomScalePageLayoutView="0" workbookViewId="0" topLeftCell="A1">
      <pane xSplit="1" ySplit="8" topLeftCell="B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" sqref="J4"/>
    </sheetView>
  </sheetViews>
  <sheetFormatPr defaultColWidth="9.140625" defaultRowHeight="12.75"/>
  <cols>
    <col min="1" max="1" width="39.8515625" style="55" customWidth="1"/>
    <col min="2" max="2" width="9.140625" style="57" customWidth="1"/>
    <col min="3" max="3" width="10.57421875" style="55" customWidth="1"/>
    <col min="4" max="5" width="9.140625" style="55" customWidth="1"/>
    <col min="6" max="6" width="10.421875" style="55" customWidth="1"/>
    <col min="7" max="7" width="40.8515625" style="56" customWidth="1"/>
    <col min="8" max="10" width="11.140625" style="95" customWidth="1"/>
    <col min="11" max="11" width="29.140625" style="95" customWidth="1"/>
    <col min="12" max="12" width="15.57421875" style="55" customWidth="1"/>
    <col min="13" max="13" width="17.28125" style="55" customWidth="1"/>
    <col min="14" max="14" width="16.7109375" style="55" customWidth="1"/>
    <col min="15" max="15" width="38.57421875" style="55" customWidth="1"/>
    <col min="16" max="16" width="15.57421875" style="55" customWidth="1"/>
    <col min="17" max="17" width="17.28125" style="55" customWidth="1"/>
    <col min="18" max="18" width="16.7109375" style="55" customWidth="1"/>
    <col min="19" max="19" width="38.57421875" style="55" customWidth="1"/>
    <col min="20" max="20" width="15.57421875" style="55" customWidth="1"/>
    <col min="21" max="21" width="17.28125" style="55" customWidth="1"/>
    <col min="22" max="22" width="16.7109375" style="55" customWidth="1"/>
    <col min="23" max="23" width="38.57421875" style="55" customWidth="1"/>
    <col min="24" max="24" width="15.57421875" style="55" customWidth="1"/>
    <col min="25" max="25" width="17.28125" style="55" customWidth="1"/>
    <col min="26" max="26" width="16.7109375" style="55" customWidth="1"/>
    <col min="27" max="27" width="38.57421875" style="55" customWidth="1"/>
    <col min="28" max="28" width="15.57421875" style="55" customWidth="1"/>
    <col min="29" max="29" width="17.28125" style="55" customWidth="1"/>
    <col min="30" max="30" width="16.7109375" style="55" customWidth="1"/>
    <col min="31" max="31" width="38.57421875" style="55" customWidth="1"/>
    <col min="32" max="32" width="15.57421875" style="55" hidden="1" customWidth="1"/>
    <col min="33" max="33" width="17.28125" style="55" hidden="1" customWidth="1"/>
    <col min="34" max="34" width="16.7109375" style="55" hidden="1" customWidth="1"/>
    <col min="35" max="35" width="38.57421875" style="55" hidden="1" customWidth="1"/>
    <col min="36" max="36" width="15.57421875" style="55" hidden="1" customWidth="1"/>
    <col min="37" max="37" width="17.28125" style="55" hidden="1" customWidth="1"/>
    <col min="38" max="38" width="16.7109375" style="55" hidden="1" customWidth="1"/>
    <col min="39" max="39" width="38.57421875" style="55" hidden="1" customWidth="1"/>
    <col min="40" max="40" width="15.57421875" style="55" hidden="1" customWidth="1"/>
    <col min="41" max="41" width="17.28125" style="55" hidden="1" customWidth="1"/>
    <col min="42" max="42" width="16.7109375" style="55" hidden="1" customWidth="1"/>
    <col min="43" max="43" width="38.57421875" style="55" hidden="1" customWidth="1"/>
    <col min="44" max="75" width="9.140625" style="55" customWidth="1"/>
    <col min="76" max="76" width="0" style="55" hidden="1" customWidth="1"/>
    <col min="77" max="77" width="12.140625" style="55" hidden="1" customWidth="1"/>
    <col min="78" max="78" width="0" style="55" hidden="1" customWidth="1"/>
    <col min="79" max="16384" width="9.140625" style="55" customWidth="1"/>
  </cols>
  <sheetData>
    <row r="1" spans="1:7" ht="19.5" customHeight="1">
      <c r="A1" s="86" t="s">
        <v>19</v>
      </c>
      <c r="B1" s="87">
        <v>112000</v>
      </c>
      <c r="C1" s="367" t="s">
        <v>56</v>
      </c>
      <c r="D1" s="368"/>
      <c r="E1" s="365"/>
      <c r="F1" s="88">
        <v>350</v>
      </c>
      <c r="G1" s="55"/>
    </row>
    <row r="2" spans="1:78" ht="13.5" customHeight="1">
      <c r="A2" s="86" t="s">
        <v>85</v>
      </c>
      <c r="B2" s="88">
        <v>6</v>
      </c>
      <c r="C2" s="365" t="s">
        <v>126</v>
      </c>
      <c r="D2" s="366"/>
      <c r="E2" s="366"/>
      <c r="F2" s="86">
        <v>5</v>
      </c>
      <c r="G2" s="89"/>
      <c r="H2" s="90"/>
      <c r="L2" s="90"/>
      <c r="P2" s="90"/>
      <c r="T2" s="90"/>
      <c r="X2" s="90"/>
      <c r="AB2" s="90"/>
      <c r="AF2" s="90"/>
      <c r="AJ2" s="90"/>
      <c r="AN2" s="90"/>
      <c r="BX2" s="55" t="s">
        <v>298</v>
      </c>
      <c r="BY2" s="28">
        <f>SUMIF(BX9:BX105,"x",F9:F105)/B1/12</f>
        <v>11.777130456349207</v>
      </c>
      <c r="BZ2" s="55" t="s">
        <v>301</v>
      </c>
    </row>
    <row r="3" spans="1:78" ht="13.5" customHeight="1">
      <c r="A3" s="86" t="s">
        <v>147</v>
      </c>
      <c r="B3" s="88">
        <v>3</v>
      </c>
      <c r="C3" s="367" t="s">
        <v>234</v>
      </c>
      <c r="D3" s="368"/>
      <c r="E3" s="365"/>
      <c r="F3" s="88">
        <v>12</v>
      </c>
      <c r="G3" s="90"/>
      <c r="H3" s="90"/>
      <c r="L3" s="90"/>
      <c r="P3" s="90"/>
      <c r="T3" s="90"/>
      <c r="X3" s="90"/>
      <c r="AB3" s="90"/>
      <c r="AF3" s="90"/>
      <c r="AJ3" s="90"/>
      <c r="AN3" s="90"/>
      <c r="BX3" s="55" t="s">
        <v>299</v>
      </c>
      <c r="BY3" s="28">
        <f>SUMIF(BY9:BY105,"x",F9:F106)/B1</f>
        <v>104.52142857142857</v>
      </c>
      <c r="BZ3" s="55" t="s">
        <v>302</v>
      </c>
    </row>
    <row r="4" spans="1:40" ht="13.5">
      <c r="A4" s="86" t="s">
        <v>159</v>
      </c>
      <c r="B4" s="88">
        <v>70</v>
      </c>
      <c r="C4" s="186" t="s">
        <v>298</v>
      </c>
      <c r="D4" s="31">
        <f>SUMIF(BX9:BX105,"x",F9:F105)/B1/12</f>
        <v>11.777130456349207</v>
      </c>
      <c r="E4" s="369" t="s">
        <v>301</v>
      </c>
      <c r="F4" s="369"/>
      <c r="G4" s="91"/>
      <c r="H4" s="200"/>
      <c r="L4" s="92"/>
      <c r="P4" s="92"/>
      <c r="T4" s="92"/>
      <c r="X4" s="92"/>
      <c r="AB4" s="92"/>
      <c r="AF4" s="92"/>
      <c r="AJ4" s="92"/>
      <c r="AN4" s="92"/>
    </row>
    <row r="5" spans="1:40" ht="13.5">
      <c r="A5" s="86" t="s">
        <v>55</v>
      </c>
      <c r="B5" s="87">
        <v>30</v>
      </c>
      <c r="C5" s="186" t="s">
        <v>299</v>
      </c>
      <c r="D5" s="31">
        <f>SUMIF(BY9:BY105,"x",F9:F106)/B1</f>
        <v>104.52142857142857</v>
      </c>
      <c r="E5" s="369" t="s">
        <v>302</v>
      </c>
      <c r="F5" s="369"/>
      <c r="G5" s="93"/>
      <c r="H5" s="200"/>
      <c r="L5" s="92"/>
      <c r="P5" s="92"/>
      <c r="T5" s="92"/>
      <c r="X5" s="92"/>
      <c r="AB5" s="92"/>
      <c r="AF5" s="92"/>
      <c r="AJ5" s="92"/>
      <c r="AN5" s="92"/>
    </row>
    <row r="6" ht="13.5" thickBot="1"/>
    <row r="7" spans="8:43" ht="13.5" thickBot="1">
      <c r="H7" s="362" t="s">
        <v>325</v>
      </c>
      <c r="I7" s="363"/>
      <c r="J7" s="363"/>
      <c r="K7" s="364"/>
      <c r="L7" s="359" t="s">
        <v>392</v>
      </c>
      <c r="M7" s="360"/>
      <c r="N7" s="360"/>
      <c r="O7" s="361"/>
      <c r="P7" s="359" t="s">
        <v>393</v>
      </c>
      <c r="Q7" s="360"/>
      <c r="R7" s="360"/>
      <c r="S7" s="361"/>
      <c r="T7" s="359" t="s">
        <v>394</v>
      </c>
      <c r="U7" s="360"/>
      <c r="V7" s="360"/>
      <c r="W7" s="361"/>
      <c r="X7" s="359" t="s">
        <v>395</v>
      </c>
      <c r="Y7" s="360"/>
      <c r="Z7" s="360"/>
      <c r="AA7" s="361"/>
      <c r="AB7" s="359" t="s">
        <v>398</v>
      </c>
      <c r="AC7" s="360"/>
      <c r="AD7" s="360"/>
      <c r="AE7" s="361"/>
      <c r="AF7" s="359" t="s">
        <v>261</v>
      </c>
      <c r="AG7" s="360"/>
      <c r="AH7" s="360"/>
      <c r="AI7" s="361"/>
      <c r="AJ7" s="359" t="s">
        <v>261</v>
      </c>
      <c r="AK7" s="360"/>
      <c r="AL7" s="360"/>
      <c r="AM7" s="361"/>
      <c r="AN7" s="359" t="s">
        <v>261</v>
      </c>
      <c r="AO7" s="360"/>
      <c r="AP7" s="360"/>
      <c r="AQ7" s="361"/>
    </row>
    <row r="8" spans="1:43" ht="39" thickBot="1">
      <c r="A8" s="166" t="s">
        <v>21</v>
      </c>
      <c r="B8" s="167" t="s">
        <v>22</v>
      </c>
      <c r="C8" s="168" t="s">
        <v>0</v>
      </c>
      <c r="D8" s="169" t="s">
        <v>23</v>
      </c>
      <c r="E8" s="145" t="s">
        <v>24</v>
      </c>
      <c r="F8" s="170" t="s">
        <v>25</v>
      </c>
      <c r="G8" s="170" t="s">
        <v>97</v>
      </c>
      <c r="H8" s="145" t="s">
        <v>231</v>
      </c>
      <c r="I8" s="145" t="s">
        <v>232</v>
      </c>
      <c r="J8" s="146" t="s">
        <v>230</v>
      </c>
      <c r="K8" s="147" t="s">
        <v>146</v>
      </c>
      <c r="L8" s="145" t="s">
        <v>231</v>
      </c>
      <c r="M8" s="145" t="s">
        <v>232</v>
      </c>
      <c r="N8" s="146" t="s">
        <v>230</v>
      </c>
      <c r="O8" s="147" t="s">
        <v>146</v>
      </c>
      <c r="P8" s="145" t="s">
        <v>231</v>
      </c>
      <c r="Q8" s="145" t="s">
        <v>232</v>
      </c>
      <c r="R8" s="146" t="s">
        <v>230</v>
      </c>
      <c r="S8" s="147" t="s">
        <v>146</v>
      </c>
      <c r="T8" s="145" t="s">
        <v>231</v>
      </c>
      <c r="U8" s="145" t="s">
        <v>232</v>
      </c>
      <c r="V8" s="146" t="s">
        <v>230</v>
      </c>
      <c r="W8" s="147" t="s">
        <v>146</v>
      </c>
      <c r="X8" s="145" t="s">
        <v>231</v>
      </c>
      <c r="Y8" s="145" t="s">
        <v>232</v>
      </c>
      <c r="Z8" s="146" t="s">
        <v>230</v>
      </c>
      <c r="AA8" s="147" t="s">
        <v>146</v>
      </c>
      <c r="AB8" s="145" t="s">
        <v>231</v>
      </c>
      <c r="AC8" s="145" t="s">
        <v>232</v>
      </c>
      <c r="AD8" s="146" t="s">
        <v>230</v>
      </c>
      <c r="AE8" s="147" t="s">
        <v>146</v>
      </c>
      <c r="AF8" s="145" t="s">
        <v>231</v>
      </c>
      <c r="AG8" s="145" t="s">
        <v>232</v>
      </c>
      <c r="AH8" s="146" t="s">
        <v>230</v>
      </c>
      <c r="AI8" s="147" t="s">
        <v>146</v>
      </c>
      <c r="AJ8" s="145" t="s">
        <v>231</v>
      </c>
      <c r="AK8" s="145" t="s">
        <v>232</v>
      </c>
      <c r="AL8" s="146" t="s">
        <v>230</v>
      </c>
      <c r="AM8" s="147" t="s">
        <v>146</v>
      </c>
      <c r="AN8" s="145" t="s">
        <v>231</v>
      </c>
      <c r="AO8" s="145" t="s">
        <v>232</v>
      </c>
      <c r="AP8" s="146" t="s">
        <v>230</v>
      </c>
      <c r="AQ8" s="147" t="s">
        <v>146</v>
      </c>
    </row>
    <row r="9" spans="1:43" ht="12.75">
      <c r="A9" s="110" t="s">
        <v>32</v>
      </c>
      <c r="B9" s="111"/>
      <c r="C9" s="112"/>
      <c r="D9" s="113"/>
      <c r="E9" s="114"/>
      <c r="F9" s="115">
        <f>SUM(F10:F28)</f>
        <v>5814670</v>
      </c>
      <c r="G9" s="110"/>
      <c r="H9" s="110"/>
      <c r="I9" s="187">
        <f>SUM(I10:I28)</f>
        <v>1528500</v>
      </c>
      <c r="J9" s="187">
        <f>SUM(J10:J28)</f>
        <v>0</v>
      </c>
      <c r="K9" s="110"/>
      <c r="L9" s="110"/>
      <c r="M9" s="115">
        <f>SUM(M10:M28)</f>
        <v>0</v>
      </c>
      <c r="N9" s="115">
        <f>SUM(N10:N28)</f>
        <v>0</v>
      </c>
      <c r="O9" s="110"/>
      <c r="P9" s="110"/>
      <c r="Q9" s="115">
        <f>SUM(Q10:Q28)</f>
        <v>0</v>
      </c>
      <c r="R9" s="115">
        <f>SUM(R10:R28)</f>
        <v>0</v>
      </c>
      <c r="S9" s="110"/>
      <c r="T9" s="110"/>
      <c r="U9" s="115">
        <f>SUM(U10:U28)</f>
        <v>0</v>
      </c>
      <c r="V9" s="115">
        <f>SUM(V10:V28)</f>
        <v>0</v>
      </c>
      <c r="W9" s="110"/>
      <c r="X9" s="110"/>
      <c r="Y9" s="115">
        <f>SUM(Y10:Y28)</f>
        <v>0</v>
      </c>
      <c r="Z9" s="115">
        <f>SUM(Z10:Z28)</f>
        <v>0</v>
      </c>
      <c r="AA9" s="110"/>
      <c r="AB9" s="110"/>
      <c r="AC9" s="115">
        <f>SUM(AC10:AC28)</f>
        <v>260000</v>
      </c>
      <c r="AD9" s="115">
        <f>SUM(AD10:AD28)</f>
        <v>240000</v>
      </c>
      <c r="AE9" s="110"/>
      <c r="AF9" s="110"/>
      <c r="AG9" s="115">
        <f>SUM(AG10:AG28)</f>
        <v>0</v>
      </c>
      <c r="AH9" s="115">
        <f>SUM(AH10:AH28)</f>
        <v>0</v>
      </c>
      <c r="AI9" s="110"/>
      <c r="AJ9" s="110"/>
      <c r="AK9" s="115">
        <f>SUM(AK10:AK28)</f>
        <v>0</v>
      </c>
      <c r="AL9" s="115">
        <f>SUM(AL10:AL28)</f>
        <v>0</v>
      </c>
      <c r="AM9" s="110"/>
      <c r="AN9" s="110"/>
      <c r="AO9" s="115">
        <f>SUM(AO10:AO28)</f>
        <v>0</v>
      </c>
      <c r="AP9" s="115">
        <f>SUM(AP10:AP28)</f>
        <v>0</v>
      </c>
      <c r="AQ9" s="110"/>
    </row>
    <row r="10" spans="1:76" ht="63.75">
      <c r="A10" s="18" t="s">
        <v>36</v>
      </c>
      <c r="B10" s="19">
        <f>B1*B5/1000</f>
        <v>3360</v>
      </c>
      <c r="C10" s="20" t="s">
        <v>65</v>
      </c>
      <c r="D10" s="59">
        <f>30*7</f>
        <v>210</v>
      </c>
      <c r="E10" s="28">
        <v>3.5</v>
      </c>
      <c r="F10" s="60">
        <f>E10*D10*B10</f>
        <v>2469600</v>
      </c>
      <c r="G10" s="108" t="s">
        <v>235</v>
      </c>
      <c r="H10" s="202"/>
      <c r="I10" s="204">
        <v>1500000</v>
      </c>
      <c r="J10" s="197"/>
      <c r="K10" s="197" t="s">
        <v>310</v>
      </c>
      <c r="L10" s="203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BX10" s="55" t="s">
        <v>300</v>
      </c>
    </row>
    <row r="11" spans="1:76" ht="12.75">
      <c r="A11" s="27" t="s">
        <v>128</v>
      </c>
      <c r="B11" s="19">
        <f>B1*B5/1000</f>
        <v>3360</v>
      </c>
      <c r="C11" s="20" t="s">
        <v>65</v>
      </c>
      <c r="D11" s="59">
        <f>5*30</f>
        <v>150</v>
      </c>
      <c r="E11" s="28">
        <v>1.5</v>
      </c>
      <c r="F11" s="60">
        <f aca="true" t="shared" si="0" ref="F11:F28">E11*D11*B11</f>
        <v>756000</v>
      </c>
      <c r="G11" s="61" t="s">
        <v>160</v>
      </c>
      <c r="H11" s="188"/>
      <c r="I11" s="188"/>
      <c r="J11" s="188"/>
      <c r="K11" s="188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BX11" s="55" t="s">
        <v>300</v>
      </c>
    </row>
    <row r="12" spans="1:77" ht="25.5">
      <c r="A12" s="27" t="s">
        <v>61</v>
      </c>
      <c r="B12" s="19">
        <v>40</v>
      </c>
      <c r="C12" s="20" t="s">
        <v>66</v>
      </c>
      <c r="D12" s="59">
        <v>1</v>
      </c>
      <c r="E12" s="28">
        <v>2000</v>
      </c>
      <c r="F12" s="60">
        <f t="shared" si="0"/>
        <v>80000</v>
      </c>
      <c r="G12" s="61" t="s">
        <v>236</v>
      </c>
      <c r="H12" s="188"/>
      <c r="I12" s="188"/>
      <c r="J12" s="188"/>
      <c r="K12" s="188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BY12" s="55" t="s">
        <v>300</v>
      </c>
    </row>
    <row r="13" spans="1:77" ht="12.75">
      <c r="A13" s="27" t="s">
        <v>54</v>
      </c>
      <c r="B13" s="19">
        <v>2</v>
      </c>
      <c r="C13" s="20" t="s">
        <v>66</v>
      </c>
      <c r="D13" s="59">
        <v>1</v>
      </c>
      <c r="E13" s="28">
        <v>250000</v>
      </c>
      <c r="F13" s="60">
        <f t="shared" si="0"/>
        <v>500000</v>
      </c>
      <c r="G13" s="61" t="s">
        <v>90</v>
      </c>
      <c r="H13" s="188"/>
      <c r="I13" s="188"/>
      <c r="J13" s="188"/>
      <c r="K13" s="188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>
        <v>2</v>
      </c>
      <c r="AC13" s="62"/>
      <c r="AD13" s="62"/>
      <c r="AE13" s="188" t="s">
        <v>400</v>
      </c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BY13" s="55" t="s">
        <v>300</v>
      </c>
    </row>
    <row r="14" spans="1:77" ht="25.5">
      <c r="A14" s="27" t="s">
        <v>237</v>
      </c>
      <c r="B14" s="19">
        <v>2</v>
      </c>
      <c r="C14" s="20" t="s">
        <v>161</v>
      </c>
      <c r="D14" s="59">
        <v>1</v>
      </c>
      <c r="E14" s="38">
        <v>300000</v>
      </c>
      <c r="F14" s="63">
        <f t="shared" si="0"/>
        <v>600000</v>
      </c>
      <c r="G14" s="61"/>
      <c r="H14" s="188"/>
      <c r="I14" s="188"/>
      <c r="J14" s="188"/>
      <c r="K14" s="188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>
        <v>2</v>
      </c>
      <c r="AC14" s="62">
        <v>260000</v>
      </c>
      <c r="AD14" s="62">
        <v>240000</v>
      </c>
      <c r="AE14" s="188" t="s">
        <v>399</v>
      </c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BY14" s="55" t="s">
        <v>300</v>
      </c>
    </row>
    <row r="15" spans="1:77" ht="12.75">
      <c r="A15" s="62" t="s">
        <v>207</v>
      </c>
      <c r="B15" s="8">
        <v>2</v>
      </c>
      <c r="C15" s="9" t="s">
        <v>66</v>
      </c>
      <c r="D15" s="64">
        <v>1</v>
      </c>
      <c r="E15" s="38">
        <v>150000</v>
      </c>
      <c r="F15" s="63">
        <f t="shared" si="0"/>
        <v>300000</v>
      </c>
      <c r="G15" s="61"/>
      <c r="H15" s="188"/>
      <c r="I15" s="188"/>
      <c r="J15" s="188"/>
      <c r="K15" s="188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BY15" s="55" t="s">
        <v>300</v>
      </c>
    </row>
    <row r="16" spans="1:76" ht="38.25">
      <c r="A16" s="27" t="s">
        <v>34</v>
      </c>
      <c r="B16" s="8">
        <f>B1*35/1000</f>
        <v>3920</v>
      </c>
      <c r="C16" s="9" t="s">
        <v>65</v>
      </c>
      <c r="D16" s="64">
        <f>5*30</f>
        <v>150</v>
      </c>
      <c r="E16" s="38">
        <v>1</v>
      </c>
      <c r="F16" s="63">
        <f t="shared" si="0"/>
        <v>588000</v>
      </c>
      <c r="G16" s="61" t="s">
        <v>197</v>
      </c>
      <c r="H16" s="188"/>
      <c r="I16" s="188"/>
      <c r="J16" s="188"/>
      <c r="K16" s="188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BX16" s="55" t="s">
        <v>300</v>
      </c>
    </row>
    <row r="17" spans="1:77" ht="51">
      <c r="A17" s="27" t="s">
        <v>57</v>
      </c>
      <c r="B17" s="8">
        <v>2</v>
      </c>
      <c r="C17" s="9" t="s">
        <v>200</v>
      </c>
      <c r="D17" s="65">
        <v>1</v>
      </c>
      <c r="E17" s="38">
        <v>20000</v>
      </c>
      <c r="F17" s="66">
        <f t="shared" si="0"/>
        <v>40000</v>
      </c>
      <c r="G17" s="61" t="s">
        <v>219</v>
      </c>
      <c r="H17" s="188"/>
      <c r="I17" s="188"/>
      <c r="J17" s="188"/>
      <c r="K17" s="188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BY17" s="55" t="s">
        <v>300</v>
      </c>
    </row>
    <row r="18" spans="1:77" ht="51">
      <c r="A18" s="7" t="s">
        <v>198</v>
      </c>
      <c r="B18" s="8">
        <v>3</v>
      </c>
      <c r="C18" s="9" t="s">
        <v>200</v>
      </c>
      <c r="D18" s="65">
        <v>1</v>
      </c>
      <c r="E18" s="38">
        <v>110000</v>
      </c>
      <c r="F18" s="66">
        <f t="shared" si="0"/>
        <v>330000</v>
      </c>
      <c r="G18" s="61" t="s">
        <v>220</v>
      </c>
      <c r="H18" s="188"/>
      <c r="I18" s="188"/>
      <c r="J18" s="188"/>
      <c r="K18" s="188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BY18" s="55" t="s">
        <v>300</v>
      </c>
    </row>
    <row r="19" spans="1:77" ht="38.25">
      <c r="A19" s="7" t="s">
        <v>199</v>
      </c>
      <c r="B19" s="8">
        <v>3</v>
      </c>
      <c r="C19" s="9" t="s">
        <v>200</v>
      </c>
      <c r="D19" s="65">
        <v>1</v>
      </c>
      <c r="E19" s="38">
        <v>25000</v>
      </c>
      <c r="F19" s="66">
        <f t="shared" si="0"/>
        <v>75000</v>
      </c>
      <c r="G19" s="61" t="s">
        <v>221</v>
      </c>
      <c r="H19" s="188"/>
      <c r="I19" s="188"/>
      <c r="J19" s="188"/>
      <c r="K19" s="188"/>
      <c r="L19" s="77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BY19" s="55" t="s">
        <v>300</v>
      </c>
    </row>
    <row r="20" spans="1:77" ht="12.75">
      <c r="A20" s="7" t="s">
        <v>3</v>
      </c>
      <c r="B20" s="8">
        <v>50</v>
      </c>
      <c r="C20" s="9" t="s">
        <v>0</v>
      </c>
      <c r="D20" s="64">
        <v>1</v>
      </c>
      <c r="E20" s="29">
        <v>30</v>
      </c>
      <c r="F20" s="63"/>
      <c r="G20" s="61" t="s">
        <v>210</v>
      </c>
      <c r="H20" s="188"/>
      <c r="I20" s="197" t="s">
        <v>311</v>
      </c>
      <c r="J20" s="197"/>
      <c r="K20" s="197" t="s">
        <v>312</v>
      </c>
      <c r="L20" s="77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BY20" s="55" t="s">
        <v>300</v>
      </c>
    </row>
    <row r="21" spans="1:76" ht="25.5">
      <c r="A21" s="7" t="s">
        <v>202</v>
      </c>
      <c r="B21" s="8">
        <v>100</v>
      </c>
      <c r="C21" s="36" t="s">
        <v>176</v>
      </c>
      <c r="D21" s="64">
        <f>12*30</f>
        <v>360</v>
      </c>
      <c r="E21" s="29">
        <v>0.15</v>
      </c>
      <c r="F21" s="63">
        <f>E21*D21*B21</f>
        <v>5400</v>
      </c>
      <c r="G21" s="61" t="s">
        <v>203</v>
      </c>
      <c r="H21" s="188"/>
      <c r="I21" s="197" t="s">
        <v>311</v>
      </c>
      <c r="J21" s="197"/>
      <c r="K21" s="197" t="s">
        <v>312</v>
      </c>
      <c r="L21" s="77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BX21" s="55" t="s">
        <v>300</v>
      </c>
    </row>
    <row r="22" spans="1:76" ht="12.75">
      <c r="A22" s="11" t="s">
        <v>4</v>
      </c>
      <c r="B22" s="8">
        <v>10</v>
      </c>
      <c r="C22" s="9" t="s">
        <v>8</v>
      </c>
      <c r="D22" s="64">
        <v>1</v>
      </c>
      <c r="E22" s="29">
        <v>3750</v>
      </c>
      <c r="F22" s="63">
        <f t="shared" si="0"/>
        <v>37500</v>
      </c>
      <c r="G22" s="61" t="s">
        <v>210</v>
      </c>
      <c r="H22" s="188"/>
      <c r="I22" s="197" t="s">
        <v>311</v>
      </c>
      <c r="J22" s="197"/>
      <c r="K22" s="188"/>
      <c r="L22" s="77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BX22" s="55" t="s">
        <v>300</v>
      </c>
    </row>
    <row r="23" spans="1:76" ht="25.5">
      <c r="A23" s="11" t="s">
        <v>201</v>
      </c>
      <c r="B23" s="8">
        <v>720</v>
      </c>
      <c r="C23" s="9" t="s">
        <v>0</v>
      </c>
      <c r="D23" s="64">
        <v>12</v>
      </c>
      <c r="E23" s="29">
        <v>3</v>
      </c>
      <c r="F23" s="63">
        <f>E23*D23*B23</f>
        <v>25920</v>
      </c>
      <c r="G23" s="61" t="s">
        <v>133</v>
      </c>
      <c r="H23" s="188"/>
      <c r="I23" s="197">
        <v>28500</v>
      </c>
      <c r="J23" s="197"/>
      <c r="K23" s="188"/>
      <c r="L23" s="77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BX23" s="55" t="s">
        <v>300</v>
      </c>
    </row>
    <row r="24" spans="1:76" ht="25.5">
      <c r="A24" s="11" t="s">
        <v>7</v>
      </c>
      <c r="B24" s="8">
        <v>10</v>
      </c>
      <c r="C24" s="9" t="s">
        <v>8</v>
      </c>
      <c r="D24" s="64">
        <v>1</v>
      </c>
      <c r="E24" s="29">
        <v>225</v>
      </c>
      <c r="F24" s="63">
        <f t="shared" si="0"/>
        <v>2250</v>
      </c>
      <c r="G24" s="61" t="s">
        <v>91</v>
      </c>
      <c r="H24" s="188"/>
      <c r="I24" s="188"/>
      <c r="J24" s="188"/>
      <c r="K24" s="188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BX24" s="55" t="s">
        <v>300</v>
      </c>
    </row>
    <row r="25" spans="1:77" ht="12.75">
      <c r="A25" s="11" t="s">
        <v>5</v>
      </c>
      <c r="B25" s="8">
        <v>1</v>
      </c>
      <c r="C25" s="9" t="s">
        <v>0</v>
      </c>
      <c r="D25" s="64">
        <v>1</v>
      </c>
      <c r="E25" s="29">
        <v>5000</v>
      </c>
      <c r="F25" s="63">
        <f t="shared" si="0"/>
        <v>5000</v>
      </c>
      <c r="G25" s="61" t="s">
        <v>162</v>
      </c>
      <c r="H25" s="188"/>
      <c r="I25" s="188"/>
      <c r="J25" s="188"/>
      <c r="K25" s="188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BY25" s="55" t="s">
        <v>300</v>
      </c>
    </row>
    <row r="26" spans="1:43" ht="12.75">
      <c r="A26" s="11"/>
      <c r="B26" s="8"/>
      <c r="C26" s="9"/>
      <c r="D26" s="64"/>
      <c r="E26" s="29"/>
      <c r="F26" s="63">
        <f t="shared" si="0"/>
        <v>0</v>
      </c>
      <c r="G26" s="61"/>
      <c r="H26" s="188"/>
      <c r="I26" s="188"/>
      <c r="J26" s="188"/>
      <c r="K26" s="188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</row>
    <row r="27" spans="1:43" ht="12.75">
      <c r="A27" s="11"/>
      <c r="B27" s="8"/>
      <c r="C27" s="9"/>
      <c r="D27" s="64"/>
      <c r="E27" s="29"/>
      <c r="F27" s="63">
        <f t="shared" si="0"/>
        <v>0</v>
      </c>
      <c r="G27" s="61"/>
      <c r="H27" s="188"/>
      <c r="I27" s="188"/>
      <c r="J27" s="188"/>
      <c r="K27" s="188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</row>
    <row r="28" spans="1:43" ht="12.75">
      <c r="A28" s="119"/>
      <c r="B28" s="120"/>
      <c r="C28" s="121"/>
      <c r="D28" s="122"/>
      <c r="E28" s="123"/>
      <c r="F28" s="124">
        <f t="shared" si="0"/>
        <v>0</v>
      </c>
      <c r="G28" s="125"/>
      <c r="H28" s="189"/>
      <c r="I28" s="189"/>
      <c r="J28" s="189"/>
      <c r="K28" s="189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</row>
    <row r="29" spans="1:43" ht="12.75">
      <c r="A29" s="148" t="s">
        <v>30</v>
      </c>
      <c r="B29" s="149"/>
      <c r="C29" s="150"/>
      <c r="D29" s="151"/>
      <c r="E29" s="152"/>
      <c r="F29" s="153">
        <f>SUM(F30:F45)</f>
        <v>16755106.666666666</v>
      </c>
      <c r="G29" s="154"/>
      <c r="H29" s="154"/>
      <c r="I29" s="198">
        <f>SUM(I30:I45)</f>
        <v>2785000</v>
      </c>
      <c r="J29" s="198">
        <f>SUM(J30:J45)</f>
        <v>125000</v>
      </c>
      <c r="K29" s="154"/>
      <c r="L29" s="155"/>
      <c r="M29" s="153">
        <f>SUM(M30:M45)</f>
        <v>0</v>
      </c>
      <c r="N29" s="153">
        <f>SUM(N30:N45)</f>
        <v>0</v>
      </c>
      <c r="O29" s="155"/>
      <c r="P29" s="155"/>
      <c r="Q29" s="153">
        <f>SUM(Q30:Q45)</f>
        <v>0</v>
      </c>
      <c r="R29" s="153">
        <f>SUM(R30:R45)</f>
        <v>0</v>
      </c>
      <c r="S29" s="155"/>
      <c r="T29" s="155"/>
      <c r="U29" s="153">
        <f>SUM(U30:U45)</f>
        <v>0</v>
      </c>
      <c r="V29" s="153">
        <f>SUM(V30:V45)</f>
        <v>0</v>
      </c>
      <c r="W29" s="155"/>
      <c r="X29" s="155"/>
      <c r="Y29" s="153">
        <f>SUM(Y30:Y45)</f>
        <v>0</v>
      </c>
      <c r="Z29" s="153">
        <f>SUM(Z30:Z45)</f>
        <v>0</v>
      </c>
      <c r="AA29" s="155"/>
      <c r="AB29" s="155"/>
      <c r="AC29" s="153">
        <f>SUM(AC30:AC45)</f>
        <v>0</v>
      </c>
      <c r="AD29" s="153">
        <f>SUM(AD30:AD45)</f>
        <v>0</v>
      </c>
      <c r="AE29" s="155"/>
      <c r="AF29" s="155"/>
      <c r="AG29" s="153">
        <f>SUM(AG30:AG45)</f>
        <v>0</v>
      </c>
      <c r="AH29" s="153">
        <f>SUM(AH30:AH45)</f>
        <v>0</v>
      </c>
      <c r="AI29" s="155"/>
      <c r="AJ29" s="155"/>
      <c r="AK29" s="153">
        <f>SUM(AK30:AK45)</f>
        <v>0</v>
      </c>
      <c r="AL29" s="153">
        <f>SUM(AL30:AL45)</f>
        <v>0</v>
      </c>
      <c r="AM29" s="155"/>
      <c r="AN29" s="155"/>
      <c r="AO29" s="153">
        <f>SUM(AO30:AO45)</f>
        <v>0</v>
      </c>
      <c r="AP29" s="153">
        <f>SUM(AP30:AP45)</f>
        <v>0</v>
      </c>
      <c r="AQ29" s="155"/>
    </row>
    <row r="30" spans="1:76" ht="23.25" customHeight="1">
      <c r="A30" s="18" t="s">
        <v>39</v>
      </c>
      <c r="B30" s="19">
        <v>50</v>
      </c>
      <c r="C30" s="19" t="s">
        <v>66</v>
      </c>
      <c r="D30" s="59">
        <f>4*30</f>
        <v>120</v>
      </c>
      <c r="E30" s="28">
        <v>50</v>
      </c>
      <c r="F30" s="60">
        <f aca="true" t="shared" si="1" ref="F30:F45">E30*D30*B30</f>
        <v>300000</v>
      </c>
      <c r="G30" s="108" t="s">
        <v>238</v>
      </c>
      <c r="H30" s="191"/>
      <c r="I30" s="191"/>
      <c r="J30" s="191"/>
      <c r="K30" s="191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BX30" s="55" t="s">
        <v>300</v>
      </c>
    </row>
    <row r="31" spans="1:77" ht="25.5">
      <c r="A31" s="62" t="s">
        <v>37</v>
      </c>
      <c r="B31" s="8">
        <f>B1/F1</f>
        <v>320</v>
      </c>
      <c r="C31" s="8" t="s">
        <v>66</v>
      </c>
      <c r="D31" s="64">
        <v>1</v>
      </c>
      <c r="E31" s="38">
        <v>25000</v>
      </c>
      <c r="F31" s="63">
        <f t="shared" si="1"/>
        <v>8000000</v>
      </c>
      <c r="G31" s="61" t="s">
        <v>303</v>
      </c>
      <c r="H31" s="188"/>
      <c r="I31" s="188"/>
      <c r="J31" s="188"/>
      <c r="K31" s="188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BY31" s="55" t="s">
        <v>300</v>
      </c>
    </row>
    <row r="32" spans="1:76" ht="12.75">
      <c r="A32" s="27" t="s">
        <v>38</v>
      </c>
      <c r="B32" s="8">
        <f>B31*2/3</f>
        <v>213.33333333333334</v>
      </c>
      <c r="C32" s="8" t="s">
        <v>66</v>
      </c>
      <c r="D32" s="65">
        <v>4</v>
      </c>
      <c r="E32" s="38">
        <v>800</v>
      </c>
      <c r="F32" s="63">
        <f t="shared" si="1"/>
        <v>682666.6666666667</v>
      </c>
      <c r="G32" s="61" t="s">
        <v>239</v>
      </c>
      <c r="H32" s="188"/>
      <c r="I32" s="188"/>
      <c r="J32" s="188"/>
      <c r="K32" s="188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BX32" s="55" t="s">
        <v>300</v>
      </c>
    </row>
    <row r="33" spans="1:77" ht="25.5">
      <c r="A33" s="27" t="s">
        <v>48</v>
      </c>
      <c r="B33" s="8">
        <f>B31</f>
        <v>320</v>
      </c>
      <c r="C33" s="8" t="s">
        <v>8</v>
      </c>
      <c r="D33" s="64">
        <v>1</v>
      </c>
      <c r="E33" s="38">
        <v>500</v>
      </c>
      <c r="F33" s="63">
        <f t="shared" si="1"/>
        <v>160000</v>
      </c>
      <c r="G33" s="61"/>
      <c r="H33" s="205"/>
      <c r="I33" s="207"/>
      <c r="J33" s="207"/>
      <c r="K33" s="206" t="s">
        <v>313</v>
      </c>
      <c r="L33" s="77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BY33" s="55" t="s">
        <v>300</v>
      </c>
    </row>
    <row r="34" spans="1:76" ht="12.75">
      <c r="A34" s="7" t="s">
        <v>40</v>
      </c>
      <c r="B34" s="8">
        <f>15*B1/1000</f>
        <v>1680</v>
      </c>
      <c r="C34" s="8" t="s">
        <v>65</v>
      </c>
      <c r="D34" s="64">
        <f>12*30</f>
        <v>360</v>
      </c>
      <c r="E34" s="38">
        <v>5</v>
      </c>
      <c r="F34" s="66">
        <f t="shared" si="1"/>
        <v>3024000</v>
      </c>
      <c r="G34" s="61" t="s">
        <v>240</v>
      </c>
      <c r="H34" s="205"/>
      <c r="I34" s="188"/>
      <c r="J34" s="188"/>
      <c r="K34" s="188"/>
      <c r="L34" s="77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BX34" s="55" t="s">
        <v>300</v>
      </c>
    </row>
    <row r="35" spans="1:76" ht="38.25">
      <c r="A35" s="55" t="s">
        <v>42</v>
      </c>
      <c r="B35" s="8">
        <f>B1/F1*2</f>
        <v>640</v>
      </c>
      <c r="C35" s="8" t="s">
        <v>67</v>
      </c>
      <c r="D35" s="65">
        <f>30*6</f>
        <v>180</v>
      </c>
      <c r="E35" s="29">
        <v>10</v>
      </c>
      <c r="F35" s="63">
        <f t="shared" si="1"/>
        <v>1152000</v>
      </c>
      <c r="G35" s="68" t="s">
        <v>331</v>
      </c>
      <c r="H35" s="205"/>
      <c r="I35" s="204">
        <v>100000</v>
      </c>
      <c r="J35" s="197"/>
      <c r="K35" s="197" t="s">
        <v>314</v>
      </c>
      <c r="L35" s="77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BX35" s="55" t="s">
        <v>300</v>
      </c>
    </row>
    <row r="36" spans="1:76" ht="38.25">
      <c r="A36" s="44" t="s">
        <v>41</v>
      </c>
      <c r="B36" s="41">
        <f>B1/250</f>
        <v>448</v>
      </c>
      <c r="C36" s="41" t="s">
        <v>67</v>
      </c>
      <c r="D36" s="65">
        <f>6*25</f>
        <v>150</v>
      </c>
      <c r="E36" s="29">
        <v>10</v>
      </c>
      <c r="F36" s="63">
        <f>E36*D36*B36</f>
        <v>672000</v>
      </c>
      <c r="G36" s="69" t="s">
        <v>332</v>
      </c>
      <c r="H36" s="205"/>
      <c r="I36" s="204">
        <v>1150000</v>
      </c>
      <c r="J36" s="197"/>
      <c r="K36" s="197" t="s">
        <v>315</v>
      </c>
      <c r="L36" s="77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BX36" s="55" t="s">
        <v>300</v>
      </c>
    </row>
    <row r="37" spans="1:77" ht="38.25">
      <c r="A37" s="44" t="s">
        <v>120</v>
      </c>
      <c r="B37" s="41">
        <f>B36</f>
        <v>448</v>
      </c>
      <c r="C37" s="41" t="s">
        <v>8</v>
      </c>
      <c r="D37" s="65">
        <v>4</v>
      </c>
      <c r="E37" s="29">
        <v>150</v>
      </c>
      <c r="F37" s="63">
        <f>E37*D37*B37</f>
        <v>268800</v>
      </c>
      <c r="G37" s="69" t="s">
        <v>241</v>
      </c>
      <c r="H37" s="205"/>
      <c r="I37" s="204">
        <v>270000</v>
      </c>
      <c r="J37" s="197"/>
      <c r="K37" s="197" t="s">
        <v>316</v>
      </c>
      <c r="L37" s="77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BY37" s="55" t="s">
        <v>300</v>
      </c>
    </row>
    <row r="38" spans="1:77" ht="38.25">
      <c r="A38" s="70" t="s">
        <v>68</v>
      </c>
      <c r="B38" s="41">
        <f>B1/F2/30</f>
        <v>746.6666666666666</v>
      </c>
      <c r="C38" s="46" t="s">
        <v>66</v>
      </c>
      <c r="D38" s="64">
        <v>1</v>
      </c>
      <c r="E38" s="38">
        <v>300</v>
      </c>
      <c r="F38" s="63">
        <f t="shared" si="1"/>
        <v>224000</v>
      </c>
      <c r="G38" s="69" t="s">
        <v>204</v>
      </c>
      <c r="H38" s="205"/>
      <c r="I38" s="197">
        <f>250*500</f>
        <v>125000</v>
      </c>
      <c r="J38" s="197"/>
      <c r="K38" s="197" t="s">
        <v>317</v>
      </c>
      <c r="L38" s="77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BY38" s="55" t="s">
        <v>300</v>
      </c>
    </row>
    <row r="39" spans="1:76" ht="31.5" customHeight="1">
      <c r="A39" s="71" t="s">
        <v>43</v>
      </c>
      <c r="B39" s="8">
        <f>B1*13/1000</f>
        <v>1456</v>
      </c>
      <c r="C39" s="25" t="s">
        <v>69</v>
      </c>
      <c r="D39" s="64">
        <f>12*30</f>
        <v>360</v>
      </c>
      <c r="E39" s="38">
        <v>4</v>
      </c>
      <c r="F39" s="63">
        <f t="shared" si="1"/>
        <v>2096640</v>
      </c>
      <c r="G39" s="61" t="s">
        <v>242</v>
      </c>
      <c r="H39" s="205"/>
      <c r="I39" s="197">
        <f>190000*6</f>
        <v>1140000</v>
      </c>
      <c r="J39" s="197"/>
      <c r="K39" s="197" t="s">
        <v>318</v>
      </c>
      <c r="L39" s="77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BX39" s="55" t="s">
        <v>300</v>
      </c>
    </row>
    <row r="40" spans="1:77" ht="25.5">
      <c r="A40" s="7" t="s">
        <v>62</v>
      </c>
      <c r="B40" s="8">
        <v>10</v>
      </c>
      <c r="C40" s="25" t="s">
        <v>66</v>
      </c>
      <c r="D40" s="64">
        <v>1</v>
      </c>
      <c r="E40" s="38">
        <v>5000</v>
      </c>
      <c r="F40" s="63">
        <f t="shared" si="1"/>
        <v>50000</v>
      </c>
      <c r="G40" s="61" t="s">
        <v>218</v>
      </c>
      <c r="H40" s="188"/>
      <c r="I40" s="188"/>
      <c r="J40" s="188"/>
      <c r="K40" s="188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BY40" s="55" t="s">
        <v>300</v>
      </c>
    </row>
    <row r="41" spans="1:43" ht="25.5" hidden="1">
      <c r="A41" s="72" t="s">
        <v>63</v>
      </c>
      <c r="B41" s="50">
        <v>2</v>
      </c>
      <c r="C41" s="51" t="s">
        <v>66</v>
      </c>
      <c r="D41" s="65">
        <v>1</v>
      </c>
      <c r="E41" s="38">
        <v>2000000</v>
      </c>
      <c r="F41" s="66"/>
      <c r="G41" s="73" t="s">
        <v>217</v>
      </c>
      <c r="H41" s="188"/>
      <c r="I41" s="188"/>
      <c r="J41" s="188"/>
      <c r="K41" s="188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</row>
    <row r="42" spans="1:43" ht="12.75" hidden="1">
      <c r="A42" s="208" t="s">
        <v>92</v>
      </c>
      <c r="B42" s="209">
        <v>15</v>
      </c>
      <c r="C42" s="210" t="s">
        <v>66</v>
      </c>
      <c r="D42" s="211">
        <v>1</v>
      </c>
      <c r="E42" s="212">
        <v>100000</v>
      </c>
      <c r="F42" s="213"/>
      <c r="G42" s="214" t="s">
        <v>216</v>
      </c>
      <c r="H42" s="189"/>
      <c r="I42" s="189"/>
      <c r="J42" s="189"/>
      <c r="K42" s="189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</row>
    <row r="43" spans="1:11" s="62" customFormat="1" ht="38.25">
      <c r="A43" s="101" t="s">
        <v>327</v>
      </c>
      <c r="B43" s="8">
        <v>210</v>
      </c>
      <c r="C43" s="25" t="s">
        <v>0</v>
      </c>
      <c r="D43" s="65">
        <v>1</v>
      </c>
      <c r="E43" s="38">
        <v>595</v>
      </c>
      <c r="F43" s="216">
        <f>ROUNDUP(B43*D43*E43,-3)</f>
        <v>125000</v>
      </c>
      <c r="G43" s="97"/>
      <c r="H43" s="217" t="s">
        <v>329</v>
      </c>
      <c r="I43" s="217"/>
      <c r="J43" s="218">
        <v>125000</v>
      </c>
      <c r="K43" s="97" t="s">
        <v>328</v>
      </c>
    </row>
    <row r="44" spans="1:43" ht="12.75">
      <c r="A44" s="18"/>
      <c r="B44" s="19"/>
      <c r="C44" s="215"/>
      <c r="D44" s="59"/>
      <c r="E44" s="28"/>
      <c r="F44" s="60">
        <f t="shared" si="1"/>
        <v>0</v>
      </c>
      <c r="G44" s="108"/>
      <c r="H44" s="191"/>
      <c r="I44" s="191"/>
      <c r="J44" s="191"/>
      <c r="K44" s="191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</row>
    <row r="45" spans="1:43" ht="12.75">
      <c r="A45" s="7"/>
      <c r="B45" s="8"/>
      <c r="C45" s="8"/>
      <c r="D45" s="64"/>
      <c r="E45" s="29"/>
      <c r="F45" s="67">
        <f t="shared" si="1"/>
        <v>0</v>
      </c>
      <c r="G45" s="61"/>
      <c r="H45" s="188"/>
      <c r="I45" s="188"/>
      <c r="J45" s="188"/>
      <c r="K45" s="188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ht="12.75">
      <c r="A46" s="156" t="s">
        <v>45</v>
      </c>
      <c r="B46" s="157"/>
      <c r="C46" s="150"/>
      <c r="D46" s="151"/>
      <c r="E46" s="152"/>
      <c r="F46" s="153">
        <f>SUM(F47:F63)</f>
        <v>4609306.666666666</v>
      </c>
      <c r="G46" s="154"/>
      <c r="H46" s="154"/>
      <c r="I46" s="198">
        <f>SUM(I47:I63)</f>
        <v>920760</v>
      </c>
      <c r="J46" s="198">
        <f>SUM(J47:J63)</f>
        <v>0</v>
      </c>
      <c r="K46" s="154"/>
      <c r="L46" s="155"/>
      <c r="M46" s="153">
        <f>SUM(M47:M63)</f>
        <v>0</v>
      </c>
      <c r="N46" s="153">
        <f>SUM(N47:N63)</f>
        <v>0</v>
      </c>
      <c r="O46" s="155"/>
      <c r="P46" s="155"/>
      <c r="Q46" s="153">
        <f>SUM(Q47:Q63)</f>
        <v>0</v>
      </c>
      <c r="R46" s="153">
        <f>SUM(R47:R63)</f>
        <v>0</v>
      </c>
      <c r="S46" s="155"/>
      <c r="T46" s="155"/>
      <c r="U46" s="153">
        <f>SUM(U47:U63)</f>
        <v>0</v>
      </c>
      <c r="V46" s="153">
        <f>SUM(V47:V63)</f>
        <v>0</v>
      </c>
      <c r="W46" s="155"/>
      <c r="X46" s="155"/>
      <c r="Y46" s="153">
        <f>SUM(Y47:Y63)</f>
        <v>0</v>
      </c>
      <c r="Z46" s="153">
        <f>SUM(Z47:Z63)</f>
        <v>0</v>
      </c>
      <c r="AA46" s="155"/>
      <c r="AB46" s="155"/>
      <c r="AC46" s="153">
        <f>SUM(AC47:AC63)</f>
        <v>0</v>
      </c>
      <c r="AD46" s="153">
        <f>SUM(AD47:AD63)</f>
        <v>0</v>
      </c>
      <c r="AE46" s="155"/>
      <c r="AF46" s="155"/>
      <c r="AG46" s="153">
        <f>SUM(AG47:AG63)</f>
        <v>0</v>
      </c>
      <c r="AH46" s="153">
        <f>SUM(AH47:AH63)</f>
        <v>0</v>
      </c>
      <c r="AI46" s="155"/>
      <c r="AJ46" s="155"/>
      <c r="AK46" s="153">
        <f>SUM(AK47:AK63)</f>
        <v>0</v>
      </c>
      <c r="AL46" s="153">
        <f>SUM(AL47:AL63)</f>
        <v>0</v>
      </c>
      <c r="AM46" s="155"/>
      <c r="AN46" s="155"/>
      <c r="AO46" s="153">
        <f>SUM(AO47:AO63)</f>
        <v>0</v>
      </c>
      <c r="AP46" s="153">
        <f>SUM(AP47:AP63)</f>
        <v>0</v>
      </c>
      <c r="AQ46" s="155"/>
    </row>
    <row r="47" spans="1:77" ht="12.75">
      <c r="A47" s="7" t="s">
        <v>44</v>
      </c>
      <c r="B47" s="8">
        <f>B1/F2</f>
        <v>22400</v>
      </c>
      <c r="C47" s="8"/>
      <c r="D47" s="64">
        <v>1</v>
      </c>
      <c r="E47" s="29">
        <v>40</v>
      </c>
      <c r="F47" s="63">
        <f aca="true" t="shared" si="2" ref="F47:F63">E47*D47*B47</f>
        <v>896000</v>
      </c>
      <c r="G47" s="61" t="s">
        <v>166</v>
      </c>
      <c r="H47" s="205"/>
      <c r="I47" s="197" t="s">
        <v>311</v>
      </c>
      <c r="J47" s="197"/>
      <c r="K47" s="197" t="s">
        <v>319</v>
      </c>
      <c r="L47" s="77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BY47" s="55" t="s">
        <v>300</v>
      </c>
    </row>
    <row r="48" spans="1:76" ht="51">
      <c r="A48" s="7" t="s">
        <v>71</v>
      </c>
      <c r="B48" s="8">
        <f>B1</f>
        <v>112000</v>
      </c>
      <c r="C48" s="8" t="s">
        <v>93</v>
      </c>
      <c r="D48" s="64">
        <f>F3</f>
        <v>12</v>
      </c>
      <c r="E48" s="29">
        <v>0.5</v>
      </c>
      <c r="F48" s="63">
        <f>E48*D48*B48</f>
        <v>672000</v>
      </c>
      <c r="G48" s="61" t="s">
        <v>167</v>
      </c>
      <c r="H48" s="205"/>
      <c r="I48" s="197">
        <f>240000*0.3*6</f>
        <v>432000</v>
      </c>
      <c r="J48" s="197"/>
      <c r="K48" s="197" t="s">
        <v>320</v>
      </c>
      <c r="L48" s="77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BX48" s="55" t="s">
        <v>300</v>
      </c>
    </row>
    <row r="49" spans="1:76" ht="12.75">
      <c r="A49" s="7" t="s">
        <v>72</v>
      </c>
      <c r="B49" s="8">
        <f>B1/4</f>
        <v>28000</v>
      </c>
      <c r="C49" s="9" t="s">
        <v>8</v>
      </c>
      <c r="D49" s="65">
        <v>1</v>
      </c>
      <c r="E49" s="38">
        <v>30</v>
      </c>
      <c r="F49" s="63">
        <f>E49*D49*B49</f>
        <v>840000</v>
      </c>
      <c r="G49" s="61" t="s">
        <v>243</v>
      </c>
      <c r="H49" s="205"/>
      <c r="I49" s="197"/>
      <c r="J49" s="197"/>
      <c r="K49" s="197"/>
      <c r="L49" s="77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BX49" s="55" t="s">
        <v>300</v>
      </c>
    </row>
    <row r="50" spans="1:76" ht="25.5">
      <c r="A50" s="7" t="s">
        <v>140</v>
      </c>
      <c r="B50" s="8">
        <f>B1/4</f>
        <v>28000</v>
      </c>
      <c r="C50" s="9" t="s">
        <v>8</v>
      </c>
      <c r="D50" s="65">
        <v>2</v>
      </c>
      <c r="E50" s="38">
        <v>10</v>
      </c>
      <c r="F50" s="63">
        <f>E50*D50*B50</f>
        <v>560000</v>
      </c>
      <c r="G50" s="61" t="s">
        <v>168</v>
      </c>
      <c r="H50" s="205"/>
      <c r="I50" s="197"/>
      <c r="J50" s="197"/>
      <c r="K50" s="197"/>
      <c r="L50" s="77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BX50" s="55" t="s">
        <v>300</v>
      </c>
    </row>
    <row r="51" spans="1:76" ht="25.5">
      <c r="A51" s="7" t="s">
        <v>244</v>
      </c>
      <c r="B51" s="8">
        <f>B1/4/3</f>
        <v>9333.333333333334</v>
      </c>
      <c r="C51" s="9" t="s">
        <v>8</v>
      </c>
      <c r="D51" s="65">
        <v>1</v>
      </c>
      <c r="E51" s="38">
        <v>30</v>
      </c>
      <c r="F51" s="63">
        <f>E51*D51*B51</f>
        <v>280000</v>
      </c>
      <c r="G51" s="61" t="s">
        <v>169</v>
      </c>
      <c r="H51" s="205"/>
      <c r="I51" s="197"/>
      <c r="J51" s="197"/>
      <c r="K51" s="197"/>
      <c r="L51" s="77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BX51" s="55" t="s">
        <v>300</v>
      </c>
    </row>
    <row r="52" spans="1:76" ht="25.5">
      <c r="A52" s="7" t="s">
        <v>245</v>
      </c>
      <c r="B52" s="8">
        <f>B1/4/3</f>
        <v>9333.333333333334</v>
      </c>
      <c r="C52" s="9" t="s">
        <v>8</v>
      </c>
      <c r="D52" s="65">
        <v>2</v>
      </c>
      <c r="E52" s="38">
        <v>10</v>
      </c>
      <c r="F52" s="63">
        <f>E52*D52*B52</f>
        <v>186666.6666666667</v>
      </c>
      <c r="G52" s="61" t="s">
        <v>169</v>
      </c>
      <c r="H52" s="205"/>
      <c r="I52" s="197" t="s">
        <v>311</v>
      </c>
      <c r="J52" s="197"/>
      <c r="K52" s="197" t="s">
        <v>319</v>
      </c>
      <c r="L52" s="77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BX52" s="55" t="s">
        <v>300</v>
      </c>
    </row>
    <row r="53" spans="1:76" ht="38.25">
      <c r="A53" s="7" t="s">
        <v>46</v>
      </c>
      <c r="B53" s="8">
        <f>B1/500</f>
        <v>224</v>
      </c>
      <c r="C53" s="8" t="s">
        <v>14</v>
      </c>
      <c r="D53" s="65">
        <f>F3*25</f>
        <v>300</v>
      </c>
      <c r="E53" s="38">
        <v>10</v>
      </c>
      <c r="F53" s="63">
        <f t="shared" si="2"/>
        <v>672000</v>
      </c>
      <c r="G53" s="61" t="s">
        <v>330</v>
      </c>
      <c r="H53" s="205"/>
      <c r="I53" s="197">
        <f>(180*12*22*6)+(18*15*22*6)</f>
        <v>320760</v>
      </c>
      <c r="J53" s="197"/>
      <c r="K53" s="197" t="s">
        <v>326</v>
      </c>
      <c r="L53" s="77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BX53" s="55" t="s">
        <v>300</v>
      </c>
    </row>
    <row r="54" spans="1:76" ht="25.5">
      <c r="A54" s="7" t="s">
        <v>94</v>
      </c>
      <c r="B54" s="8">
        <f>B53</f>
        <v>224</v>
      </c>
      <c r="C54" s="8" t="s">
        <v>14</v>
      </c>
      <c r="D54" s="64">
        <v>2</v>
      </c>
      <c r="E54" s="29">
        <v>30</v>
      </c>
      <c r="F54" s="63">
        <f t="shared" si="2"/>
        <v>13440</v>
      </c>
      <c r="G54" s="69" t="s">
        <v>141</v>
      </c>
      <c r="H54" s="205"/>
      <c r="I54" s="197"/>
      <c r="J54" s="197"/>
      <c r="K54" s="188"/>
      <c r="L54" s="77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BX54" s="55" t="s">
        <v>300</v>
      </c>
    </row>
    <row r="55" spans="1:76" ht="12.75">
      <c r="A55" s="7" t="s">
        <v>47</v>
      </c>
      <c r="B55" s="8">
        <f>7*24*2</f>
        <v>336</v>
      </c>
      <c r="C55" s="8" t="s">
        <v>14</v>
      </c>
      <c r="D55" s="64">
        <v>2</v>
      </c>
      <c r="E55" s="29">
        <v>30</v>
      </c>
      <c r="F55" s="63">
        <f>E55*D55*B55</f>
        <v>20160</v>
      </c>
      <c r="G55" s="61" t="s">
        <v>246</v>
      </c>
      <c r="H55" s="205"/>
      <c r="I55" s="188"/>
      <c r="J55" s="188"/>
      <c r="K55" s="188"/>
      <c r="L55" s="77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BX55" s="55" t="s">
        <v>300</v>
      </c>
    </row>
    <row r="56" spans="1:76" ht="38.25">
      <c r="A56" s="7" t="s">
        <v>170</v>
      </c>
      <c r="B56" s="8">
        <f>7*24</f>
        <v>168</v>
      </c>
      <c r="C56" s="8" t="s">
        <v>247</v>
      </c>
      <c r="D56" s="64">
        <f>6</f>
        <v>6</v>
      </c>
      <c r="E56" s="38">
        <v>285</v>
      </c>
      <c r="F56" s="63">
        <f t="shared" si="2"/>
        <v>287280</v>
      </c>
      <c r="G56" s="61" t="s">
        <v>248</v>
      </c>
      <c r="H56" s="188"/>
      <c r="I56" s="188"/>
      <c r="J56" s="188"/>
      <c r="K56" s="188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BX56" s="55" t="s">
        <v>300</v>
      </c>
    </row>
    <row r="57" spans="1:77" ht="12.75">
      <c r="A57" s="7" t="s">
        <v>49</v>
      </c>
      <c r="B57" s="8">
        <f>B56</f>
        <v>168</v>
      </c>
      <c r="C57" s="8" t="s">
        <v>8</v>
      </c>
      <c r="D57" s="64">
        <v>1</v>
      </c>
      <c r="E57" s="29">
        <v>300</v>
      </c>
      <c r="F57" s="63">
        <f t="shared" si="2"/>
        <v>50400</v>
      </c>
      <c r="G57" s="61" t="s">
        <v>95</v>
      </c>
      <c r="H57" s="188"/>
      <c r="I57" s="188"/>
      <c r="J57" s="188"/>
      <c r="K57" s="188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BY57" s="55" t="s">
        <v>300</v>
      </c>
    </row>
    <row r="58" spans="1:76" ht="12.75">
      <c r="A58" s="7" t="s">
        <v>50</v>
      </c>
      <c r="B58" s="8">
        <f>B1/4/2</f>
        <v>14000</v>
      </c>
      <c r="C58" s="8" t="s">
        <v>11</v>
      </c>
      <c r="D58" s="64">
        <v>2</v>
      </c>
      <c r="E58" s="29">
        <v>2</v>
      </c>
      <c r="F58" s="63">
        <f t="shared" si="2"/>
        <v>56000</v>
      </c>
      <c r="G58" s="61" t="s">
        <v>98</v>
      </c>
      <c r="H58" s="188"/>
      <c r="I58" s="193">
        <v>70000</v>
      </c>
      <c r="J58" s="194"/>
      <c r="K58" s="194" t="s">
        <v>1</v>
      </c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BX58" s="55" t="s">
        <v>300</v>
      </c>
    </row>
    <row r="59" spans="1:76" ht="12.75">
      <c r="A59" s="7" t="s">
        <v>51</v>
      </c>
      <c r="B59" s="8">
        <f>B1/4</f>
        <v>28000</v>
      </c>
      <c r="C59" s="8" t="s">
        <v>12</v>
      </c>
      <c r="D59" s="64">
        <v>3</v>
      </c>
      <c r="E59" s="29">
        <v>0.5</v>
      </c>
      <c r="F59" s="63">
        <f t="shared" si="2"/>
        <v>42000</v>
      </c>
      <c r="G59" s="61" t="s">
        <v>99</v>
      </c>
      <c r="H59" s="188"/>
      <c r="I59" s="193">
        <v>50000</v>
      </c>
      <c r="J59" s="194"/>
      <c r="K59" s="194" t="s">
        <v>1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BX59" s="55" t="s">
        <v>300</v>
      </c>
    </row>
    <row r="60" spans="1:76" ht="25.5">
      <c r="A60" s="74" t="s">
        <v>100</v>
      </c>
      <c r="B60" s="8">
        <f>B53</f>
        <v>224</v>
      </c>
      <c r="C60" s="8" t="s">
        <v>8</v>
      </c>
      <c r="D60" s="64">
        <v>1</v>
      </c>
      <c r="E60" s="29">
        <v>15</v>
      </c>
      <c r="F60" s="63">
        <f t="shared" si="2"/>
        <v>3360</v>
      </c>
      <c r="G60" s="61"/>
      <c r="H60" s="188"/>
      <c r="I60" s="193">
        <v>18000</v>
      </c>
      <c r="J60" s="194"/>
      <c r="K60" s="194" t="s">
        <v>321</v>
      </c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BX60" s="55" t="s">
        <v>300</v>
      </c>
    </row>
    <row r="61" spans="1:43" ht="12.75">
      <c r="A61" s="7" t="s">
        <v>52</v>
      </c>
      <c r="B61" s="8">
        <v>1</v>
      </c>
      <c r="C61" s="8" t="s">
        <v>77</v>
      </c>
      <c r="D61" s="64">
        <v>3</v>
      </c>
      <c r="E61" s="38">
        <v>10000</v>
      </c>
      <c r="F61" s="63">
        <f t="shared" si="2"/>
        <v>30000</v>
      </c>
      <c r="G61" s="61"/>
      <c r="H61" s="188"/>
      <c r="I61" s="193">
        <v>30000</v>
      </c>
      <c r="J61" s="194"/>
      <c r="K61" s="194" t="s">
        <v>1</v>
      </c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</row>
    <row r="62" spans="1:43" ht="12.75">
      <c r="A62" s="7"/>
      <c r="B62" s="8"/>
      <c r="C62" s="8"/>
      <c r="D62" s="64"/>
      <c r="E62" s="29"/>
      <c r="F62" s="63">
        <f t="shared" si="2"/>
        <v>0</v>
      </c>
      <c r="G62" s="61"/>
      <c r="H62" s="188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</row>
    <row r="63" spans="1:43" ht="12.75">
      <c r="A63" s="158"/>
      <c r="B63" s="120"/>
      <c r="C63" s="121"/>
      <c r="D63" s="122"/>
      <c r="E63" s="123"/>
      <c r="F63" s="124">
        <f t="shared" si="2"/>
        <v>0</v>
      </c>
      <c r="G63" s="125"/>
      <c r="H63" s="189"/>
      <c r="I63" s="188"/>
      <c r="J63" s="188"/>
      <c r="K63" s="188"/>
      <c r="L63" s="127"/>
      <c r="M63" s="62"/>
      <c r="N63" s="62"/>
      <c r="O63" s="62"/>
      <c r="P63" s="127"/>
      <c r="Q63" s="62"/>
      <c r="R63" s="62"/>
      <c r="S63" s="62"/>
      <c r="T63" s="127"/>
      <c r="U63" s="62"/>
      <c r="V63" s="62"/>
      <c r="W63" s="62"/>
      <c r="X63" s="127"/>
      <c r="Y63" s="62"/>
      <c r="Z63" s="62"/>
      <c r="AA63" s="62"/>
      <c r="AB63" s="127"/>
      <c r="AC63" s="62"/>
      <c r="AD63" s="62"/>
      <c r="AE63" s="62"/>
      <c r="AF63" s="127"/>
      <c r="AG63" s="62"/>
      <c r="AH63" s="62"/>
      <c r="AI63" s="62"/>
      <c r="AJ63" s="127"/>
      <c r="AK63" s="62"/>
      <c r="AL63" s="62"/>
      <c r="AM63" s="62"/>
      <c r="AN63" s="127"/>
      <c r="AO63" s="62"/>
      <c r="AP63" s="62"/>
      <c r="AQ63" s="62"/>
    </row>
    <row r="64" spans="1:43" ht="12.75">
      <c r="A64" s="148" t="s">
        <v>31</v>
      </c>
      <c r="B64" s="149"/>
      <c r="C64" s="150"/>
      <c r="D64" s="151"/>
      <c r="E64" s="152"/>
      <c r="F64" s="153">
        <f>SUM(F65:F81)</f>
        <v>510780</v>
      </c>
      <c r="G64" s="154"/>
      <c r="H64" s="154"/>
      <c r="I64" s="198">
        <f>SUM(I65:I81)</f>
        <v>60000</v>
      </c>
      <c r="J64" s="198">
        <f>SUM(J65:J81)</f>
        <v>0</v>
      </c>
      <c r="K64" s="154"/>
      <c r="L64" s="155"/>
      <c r="M64" s="153">
        <f>SUM(M65:M81)</f>
        <v>0</v>
      </c>
      <c r="N64" s="153">
        <f>SUM(N65:N81)</f>
        <v>0</v>
      </c>
      <c r="O64" s="155"/>
      <c r="P64" s="155"/>
      <c r="Q64" s="153">
        <f>SUM(Q65:Q81)</f>
        <v>0</v>
      </c>
      <c r="R64" s="153">
        <f>SUM(R65:R81)</f>
        <v>0</v>
      </c>
      <c r="S64" s="155"/>
      <c r="T64" s="155"/>
      <c r="U64" s="153">
        <f>SUM(U65:U81)</f>
        <v>0</v>
      </c>
      <c r="V64" s="153">
        <f>SUM(V65:V81)</f>
        <v>0</v>
      </c>
      <c r="W64" s="155"/>
      <c r="X64" s="155"/>
      <c r="Y64" s="153">
        <f>SUM(Y65:Y81)</f>
        <v>0</v>
      </c>
      <c r="Z64" s="153">
        <f>SUM(Z65:Z81)</f>
        <v>0</v>
      </c>
      <c r="AA64" s="155"/>
      <c r="AB64" s="155"/>
      <c r="AC64" s="153">
        <f>SUM(AC65:AC81)</f>
        <v>0</v>
      </c>
      <c r="AD64" s="153">
        <f>SUM(AD65:AD81)</f>
        <v>0</v>
      </c>
      <c r="AE64" s="155"/>
      <c r="AF64" s="155"/>
      <c r="AG64" s="153">
        <f>SUM(AG65:AG81)</f>
        <v>0</v>
      </c>
      <c r="AH64" s="153">
        <f>SUM(AH65:AH81)</f>
        <v>0</v>
      </c>
      <c r="AI64" s="155"/>
      <c r="AJ64" s="155"/>
      <c r="AK64" s="153">
        <f>SUM(AK65:AK81)</f>
        <v>0</v>
      </c>
      <c r="AL64" s="153">
        <f>SUM(AL65:AL81)</f>
        <v>0</v>
      </c>
      <c r="AM64" s="155"/>
      <c r="AN64" s="155"/>
      <c r="AO64" s="153">
        <f>SUM(AO65:AO81)</f>
        <v>0</v>
      </c>
      <c r="AP64" s="153">
        <f>SUM(AP65:AP81)</f>
        <v>0</v>
      </c>
      <c r="AQ64" s="155"/>
    </row>
    <row r="65" spans="1:87" ht="12.75">
      <c r="A65" s="159" t="s">
        <v>155</v>
      </c>
      <c r="B65" s="160">
        <f>B2</f>
        <v>6</v>
      </c>
      <c r="C65" s="160" t="s">
        <v>66</v>
      </c>
      <c r="D65" s="59">
        <v>1</v>
      </c>
      <c r="E65" s="39">
        <v>40000</v>
      </c>
      <c r="F65" s="60"/>
      <c r="G65" s="108" t="s">
        <v>249</v>
      </c>
      <c r="H65" s="191"/>
      <c r="I65" s="188"/>
      <c r="J65" s="188"/>
      <c r="K65" s="188"/>
      <c r="L65" s="129"/>
      <c r="M65" s="62"/>
      <c r="N65" s="62"/>
      <c r="O65" s="62"/>
      <c r="P65" s="129"/>
      <c r="Q65" s="62"/>
      <c r="R65" s="62"/>
      <c r="S65" s="62"/>
      <c r="T65" s="129"/>
      <c r="U65" s="62"/>
      <c r="V65" s="62"/>
      <c r="W65" s="62"/>
      <c r="X65" s="129"/>
      <c r="Y65" s="62"/>
      <c r="Z65" s="62"/>
      <c r="AA65" s="62"/>
      <c r="AB65" s="129"/>
      <c r="AC65" s="62"/>
      <c r="AD65" s="62"/>
      <c r="AE65" s="62"/>
      <c r="AF65" s="129"/>
      <c r="AG65" s="62"/>
      <c r="AH65" s="62"/>
      <c r="AI65" s="62"/>
      <c r="AJ65" s="129"/>
      <c r="AK65" s="62"/>
      <c r="AL65" s="62"/>
      <c r="AM65" s="62"/>
      <c r="AN65" s="129"/>
      <c r="AO65" s="62"/>
      <c r="AP65" s="62"/>
      <c r="AQ65" s="62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76"/>
      <c r="BX65" s="75"/>
      <c r="BY65" s="62"/>
      <c r="BZ65" s="76"/>
      <c r="CA65" s="75"/>
      <c r="CB65" s="62"/>
      <c r="CC65" s="76"/>
      <c r="CD65" s="75"/>
      <c r="CE65" s="62"/>
      <c r="CF65" s="76"/>
      <c r="CG65" s="77"/>
      <c r="CH65" s="62"/>
      <c r="CI65" s="62"/>
    </row>
    <row r="66" spans="1:87" ht="12.75">
      <c r="A66" s="44" t="s">
        <v>154</v>
      </c>
      <c r="B66" s="41">
        <f>B3</f>
        <v>3</v>
      </c>
      <c r="C66" s="41" t="s">
        <v>66</v>
      </c>
      <c r="D66" s="64">
        <v>1</v>
      </c>
      <c r="E66" s="38">
        <v>40000</v>
      </c>
      <c r="F66" s="63">
        <f>E66*D66*B66</f>
        <v>120000</v>
      </c>
      <c r="G66" s="61" t="s">
        <v>250</v>
      </c>
      <c r="H66" s="188"/>
      <c r="I66" s="188"/>
      <c r="J66" s="188"/>
      <c r="K66" s="188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76"/>
      <c r="BX66" s="75"/>
      <c r="BY66" s="62" t="s">
        <v>300</v>
      </c>
      <c r="BZ66" s="76"/>
      <c r="CA66" s="75"/>
      <c r="CB66" s="62"/>
      <c r="CC66" s="76"/>
      <c r="CD66" s="75"/>
      <c r="CE66" s="62"/>
      <c r="CF66" s="76"/>
      <c r="CG66" s="77"/>
      <c r="CH66" s="62"/>
      <c r="CI66" s="62"/>
    </row>
    <row r="67" spans="1:87" ht="12.75">
      <c r="A67" s="44" t="s">
        <v>148</v>
      </c>
      <c r="B67" s="41">
        <f>B4</f>
        <v>70</v>
      </c>
      <c r="C67" s="41" t="s">
        <v>66</v>
      </c>
      <c r="D67" s="64">
        <v>1</v>
      </c>
      <c r="E67" s="38">
        <v>2000</v>
      </c>
      <c r="F67" s="63"/>
      <c r="G67" s="61" t="s">
        <v>251</v>
      </c>
      <c r="H67" s="188"/>
      <c r="I67" s="188"/>
      <c r="J67" s="188"/>
      <c r="K67" s="188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76"/>
      <c r="BX67" s="75"/>
      <c r="BY67" s="62"/>
      <c r="BZ67" s="76"/>
      <c r="CA67" s="75"/>
      <c r="CB67" s="62"/>
      <c r="CC67" s="76"/>
      <c r="CD67" s="75"/>
      <c r="CE67" s="62"/>
      <c r="CF67" s="76"/>
      <c r="CG67" s="77"/>
      <c r="CH67" s="62"/>
      <c r="CI67" s="62"/>
    </row>
    <row r="68" spans="1:87" ht="12.75">
      <c r="A68" s="44" t="s">
        <v>124</v>
      </c>
      <c r="B68" s="41">
        <f>B3*2</f>
        <v>6</v>
      </c>
      <c r="C68" s="41" t="s">
        <v>67</v>
      </c>
      <c r="D68" s="64">
        <f>25*6</f>
        <v>150</v>
      </c>
      <c r="E68" s="29">
        <v>8</v>
      </c>
      <c r="F68" s="63">
        <f aca="true" t="shared" si="3" ref="F68:F81">E68*D68*B68</f>
        <v>7200</v>
      </c>
      <c r="G68" s="61" t="s">
        <v>252</v>
      </c>
      <c r="H68" s="188"/>
      <c r="I68" s="188"/>
      <c r="J68" s="188"/>
      <c r="K68" s="188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76"/>
      <c r="BX68" s="75" t="s">
        <v>300</v>
      </c>
      <c r="BY68" s="62"/>
      <c r="BZ68" s="76"/>
      <c r="CA68" s="75"/>
      <c r="CB68" s="62"/>
      <c r="CC68" s="76"/>
      <c r="CD68" s="75"/>
      <c r="CE68" s="62"/>
      <c r="CF68" s="76"/>
      <c r="CG68" s="77"/>
      <c r="CH68" s="62"/>
      <c r="CI68" s="62"/>
    </row>
    <row r="69" spans="1:87" ht="12.75">
      <c r="A69" s="44" t="s">
        <v>253</v>
      </c>
      <c r="B69" s="41">
        <f>B3*5000*3/1000</f>
        <v>45</v>
      </c>
      <c r="C69" s="41" t="s">
        <v>65</v>
      </c>
      <c r="D69" s="64">
        <f>F3*25</f>
        <v>300</v>
      </c>
      <c r="E69" s="29">
        <v>5</v>
      </c>
      <c r="F69" s="66">
        <f t="shared" si="3"/>
        <v>67500</v>
      </c>
      <c r="G69" s="69" t="s">
        <v>256</v>
      </c>
      <c r="H69" s="188"/>
      <c r="I69" s="188"/>
      <c r="J69" s="188"/>
      <c r="K69" s="188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76"/>
      <c r="BX69" s="75" t="s">
        <v>300</v>
      </c>
      <c r="BY69" s="62"/>
      <c r="BZ69" s="76"/>
      <c r="CA69" s="75"/>
      <c r="CB69" s="62"/>
      <c r="CC69" s="76"/>
      <c r="CD69" s="75"/>
      <c r="CE69" s="62"/>
      <c r="CF69" s="76"/>
      <c r="CG69" s="77"/>
      <c r="CH69" s="62"/>
      <c r="CI69" s="62"/>
    </row>
    <row r="70" spans="1:87" ht="25.5">
      <c r="A70" s="44" t="s">
        <v>165</v>
      </c>
      <c r="B70" s="41">
        <f>B2*300*30/1000</f>
        <v>54</v>
      </c>
      <c r="C70" s="41" t="s">
        <v>65</v>
      </c>
      <c r="D70" s="64">
        <f>F3*30</f>
        <v>360</v>
      </c>
      <c r="E70" s="29">
        <v>5</v>
      </c>
      <c r="F70" s="66">
        <f>E70*D70*B70</f>
        <v>97200</v>
      </c>
      <c r="G70" s="69" t="s">
        <v>254</v>
      </c>
      <c r="H70" s="188"/>
      <c r="I70" s="188"/>
      <c r="J70" s="188"/>
      <c r="K70" s="188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76"/>
      <c r="BX70" s="75" t="s">
        <v>300</v>
      </c>
      <c r="BY70" s="62"/>
      <c r="BZ70" s="76"/>
      <c r="CA70" s="75"/>
      <c r="CB70" s="62"/>
      <c r="CC70" s="76"/>
      <c r="CD70" s="75"/>
      <c r="CE70" s="62"/>
      <c r="CF70" s="76"/>
      <c r="CG70" s="77"/>
      <c r="CH70" s="62"/>
      <c r="CI70" s="62"/>
    </row>
    <row r="71" spans="1:87" ht="12.75">
      <c r="A71" s="44" t="s">
        <v>157</v>
      </c>
      <c r="B71" s="41">
        <f>B3</f>
        <v>3</v>
      </c>
      <c r="C71" s="41" t="s">
        <v>66</v>
      </c>
      <c r="D71" s="64">
        <v>3</v>
      </c>
      <c r="E71" s="29">
        <v>800</v>
      </c>
      <c r="F71" s="66">
        <f>E71*D71*B71</f>
        <v>7200</v>
      </c>
      <c r="G71" s="61"/>
      <c r="H71" s="188"/>
      <c r="I71" s="188"/>
      <c r="J71" s="188"/>
      <c r="K71" s="188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76"/>
      <c r="BX71" s="75"/>
      <c r="BY71" s="62" t="s">
        <v>300</v>
      </c>
      <c r="BZ71" s="76"/>
      <c r="CA71" s="75"/>
      <c r="CB71" s="62"/>
      <c r="CC71" s="76"/>
      <c r="CD71" s="75"/>
      <c r="CE71" s="62"/>
      <c r="CF71" s="76"/>
      <c r="CG71" s="77"/>
      <c r="CH71" s="62"/>
      <c r="CI71" s="62"/>
    </row>
    <row r="72" spans="1:87" ht="12.75">
      <c r="A72" s="44" t="s">
        <v>78</v>
      </c>
      <c r="B72" s="41">
        <f>B3*20+B4*5</f>
        <v>410</v>
      </c>
      <c r="C72" s="41" t="s">
        <v>66</v>
      </c>
      <c r="D72" s="64">
        <v>1</v>
      </c>
      <c r="E72" s="29">
        <v>20</v>
      </c>
      <c r="F72" s="63">
        <f t="shared" si="3"/>
        <v>8200</v>
      </c>
      <c r="G72" s="69" t="s">
        <v>163</v>
      </c>
      <c r="H72" s="188"/>
      <c r="I72" s="188"/>
      <c r="J72" s="188"/>
      <c r="K72" s="188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76"/>
      <c r="BX72" s="75" t="s">
        <v>300</v>
      </c>
      <c r="BY72" s="62"/>
      <c r="BZ72" s="76"/>
      <c r="CA72" s="75"/>
      <c r="CB72" s="62"/>
      <c r="CC72" s="76"/>
      <c r="CD72" s="75"/>
      <c r="CE72" s="62"/>
      <c r="CF72" s="76"/>
      <c r="CG72" s="77"/>
      <c r="CH72" s="62"/>
      <c r="CI72" s="62"/>
    </row>
    <row r="73" spans="1:87" ht="12.75">
      <c r="A73" s="78" t="s">
        <v>64</v>
      </c>
      <c r="B73" s="41">
        <f>B3*5</f>
        <v>15</v>
      </c>
      <c r="C73" s="41" t="s">
        <v>13</v>
      </c>
      <c r="D73" s="64">
        <v>6</v>
      </c>
      <c r="E73" s="29">
        <v>100</v>
      </c>
      <c r="F73" s="63">
        <f>E73*D73*B73</f>
        <v>9000</v>
      </c>
      <c r="G73" s="69" t="s">
        <v>86</v>
      </c>
      <c r="H73" s="188"/>
      <c r="I73" s="188"/>
      <c r="J73" s="188"/>
      <c r="K73" s="188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76"/>
      <c r="BX73" s="75" t="s">
        <v>300</v>
      </c>
      <c r="BY73" s="62"/>
      <c r="BZ73" s="76"/>
      <c r="CA73" s="75"/>
      <c r="CB73" s="62"/>
      <c r="CC73" s="76"/>
      <c r="CD73" s="75"/>
      <c r="CE73" s="62"/>
      <c r="CF73" s="76"/>
      <c r="CG73" s="77"/>
      <c r="CH73" s="62"/>
      <c r="CI73" s="62"/>
    </row>
    <row r="74" spans="1:87" ht="12.75">
      <c r="A74" s="44" t="s">
        <v>150</v>
      </c>
      <c r="B74" s="41">
        <f>(B2+B3)*7</f>
        <v>63</v>
      </c>
      <c r="C74" s="41" t="s">
        <v>14</v>
      </c>
      <c r="D74" s="64">
        <v>1</v>
      </c>
      <c r="E74" s="29">
        <v>30</v>
      </c>
      <c r="F74" s="63">
        <f t="shared" si="3"/>
        <v>1890</v>
      </c>
      <c r="G74" s="69" t="s">
        <v>151</v>
      </c>
      <c r="H74" s="188"/>
      <c r="I74" s="188"/>
      <c r="J74" s="188"/>
      <c r="K74" s="188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76"/>
      <c r="BX74" s="75" t="s">
        <v>300</v>
      </c>
      <c r="BY74" s="62"/>
      <c r="BZ74" s="76"/>
      <c r="CA74" s="75"/>
      <c r="CB74" s="62"/>
      <c r="CC74" s="76"/>
      <c r="CD74" s="75"/>
      <c r="CE74" s="62"/>
      <c r="CF74" s="76"/>
      <c r="CG74" s="77"/>
      <c r="CH74" s="62"/>
      <c r="CI74" s="62"/>
    </row>
    <row r="75" spans="1:87" ht="25.5">
      <c r="A75" s="44" t="s">
        <v>53</v>
      </c>
      <c r="B75" s="41">
        <f>B1/4</f>
        <v>28000</v>
      </c>
      <c r="C75" s="41" t="s">
        <v>80</v>
      </c>
      <c r="D75" s="64">
        <v>1</v>
      </c>
      <c r="E75" s="38">
        <v>2</v>
      </c>
      <c r="F75" s="63">
        <f t="shared" si="3"/>
        <v>56000</v>
      </c>
      <c r="G75" s="69" t="s">
        <v>79</v>
      </c>
      <c r="H75" s="205"/>
      <c r="I75" s="197">
        <v>60000</v>
      </c>
      <c r="J75" s="197"/>
      <c r="K75" s="197" t="s">
        <v>322</v>
      </c>
      <c r="L75" s="77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76"/>
      <c r="BX75" s="75" t="s">
        <v>300</v>
      </c>
      <c r="BY75" s="62"/>
      <c r="BZ75" s="76"/>
      <c r="CA75" s="75"/>
      <c r="CB75" s="62"/>
      <c r="CC75" s="76"/>
      <c r="CD75" s="75"/>
      <c r="CE75" s="62"/>
      <c r="CF75" s="76"/>
      <c r="CG75" s="77"/>
      <c r="CH75" s="62"/>
      <c r="CI75" s="62"/>
    </row>
    <row r="76" spans="1:87" ht="25.5">
      <c r="A76" s="44" t="s">
        <v>81</v>
      </c>
      <c r="B76" s="41">
        <f>B2*20+B3*20+B4*3</f>
        <v>390</v>
      </c>
      <c r="C76" s="41" t="s">
        <v>11</v>
      </c>
      <c r="D76" s="64">
        <v>3</v>
      </c>
      <c r="E76" s="29">
        <v>2</v>
      </c>
      <c r="F76" s="63">
        <f t="shared" si="3"/>
        <v>2340</v>
      </c>
      <c r="G76" s="69" t="s">
        <v>152</v>
      </c>
      <c r="H76" s="205"/>
      <c r="I76" s="197"/>
      <c r="J76" s="197"/>
      <c r="K76" s="197" t="s">
        <v>323</v>
      </c>
      <c r="L76" s="77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76"/>
      <c r="BX76" s="75" t="s">
        <v>300</v>
      </c>
      <c r="BY76" s="62"/>
      <c r="BZ76" s="76"/>
      <c r="CA76" s="75"/>
      <c r="CB76" s="62"/>
      <c r="CC76" s="76"/>
      <c r="CD76" s="75"/>
      <c r="CE76" s="62"/>
      <c r="CF76" s="76"/>
      <c r="CG76" s="77"/>
      <c r="CH76" s="62"/>
      <c r="CI76" s="62"/>
    </row>
    <row r="77" spans="1:87" ht="25.5">
      <c r="A77" s="44" t="s">
        <v>82</v>
      </c>
      <c r="B77" s="41">
        <f>B72</f>
        <v>410</v>
      </c>
      <c r="C77" s="41" t="s">
        <v>8</v>
      </c>
      <c r="D77" s="64">
        <v>1</v>
      </c>
      <c r="E77" s="29">
        <v>15</v>
      </c>
      <c r="F77" s="63">
        <f t="shared" si="3"/>
        <v>6150</v>
      </c>
      <c r="G77" s="69"/>
      <c r="H77" s="205"/>
      <c r="I77" s="197"/>
      <c r="J77" s="197"/>
      <c r="K77" s="197" t="s">
        <v>323</v>
      </c>
      <c r="L77" s="77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76"/>
      <c r="BX77" s="75" t="s">
        <v>300</v>
      </c>
      <c r="BY77" s="62"/>
      <c r="BZ77" s="76"/>
      <c r="CA77" s="75"/>
      <c r="CB77" s="62"/>
      <c r="CC77" s="76"/>
      <c r="CD77" s="75"/>
      <c r="CE77" s="62"/>
      <c r="CF77" s="76"/>
      <c r="CG77" s="77"/>
      <c r="CH77" s="62"/>
      <c r="CI77" s="62"/>
    </row>
    <row r="78" spans="1:87" ht="12.75">
      <c r="A78" s="78" t="s">
        <v>255</v>
      </c>
      <c r="B78" s="41">
        <f>B15*5000*5/1000</f>
        <v>50</v>
      </c>
      <c r="C78" s="41" t="s">
        <v>102</v>
      </c>
      <c r="D78" s="64">
        <f>F3*25</f>
        <v>300</v>
      </c>
      <c r="E78" s="29">
        <v>3.5</v>
      </c>
      <c r="F78" s="63">
        <f t="shared" si="3"/>
        <v>52500</v>
      </c>
      <c r="G78" s="69" t="s">
        <v>259</v>
      </c>
      <c r="H78" s="205"/>
      <c r="I78" s="197"/>
      <c r="J78" s="197"/>
      <c r="K78" s="197"/>
      <c r="L78" s="77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76"/>
      <c r="BX78" s="75" t="s">
        <v>300</v>
      </c>
      <c r="BY78" s="62"/>
      <c r="BZ78" s="76"/>
      <c r="CA78" s="75"/>
      <c r="CB78" s="62"/>
      <c r="CC78" s="76"/>
      <c r="CD78" s="75"/>
      <c r="CE78" s="62"/>
      <c r="CF78" s="76"/>
      <c r="CG78" s="77"/>
      <c r="CH78" s="62"/>
      <c r="CI78" s="62"/>
    </row>
    <row r="79" spans="1:87" ht="25.5">
      <c r="A79" s="78" t="s">
        <v>84</v>
      </c>
      <c r="B79" s="41">
        <f>B14*500*60/1000</f>
        <v>60</v>
      </c>
      <c r="C79" s="41" t="s">
        <v>102</v>
      </c>
      <c r="D79" s="64">
        <f>F3*30</f>
        <v>360</v>
      </c>
      <c r="E79" s="29">
        <v>3.5</v>
      </c>
      <c r="F79" s="63">
        <f>E79*D79*B79</f>
        <v>75600</v>
      </c>
      <c r="G79" s="69" t="s">
        <v>260</v>
      </c>
      <c r="H79" s="205"/>
      <c r="I79" s="197"/>
      <c r="J79" s="197"/>
      <c r="K79" s="197" t="s">
        <v>323</v>
      </c>
      <c r="L79" s="77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76"/>
      <c r="BX79" s="75" t="s">
        <v>300</v>
      </c>
      <c r="BY79" s="62"/>
      <c r="BZ79" s="76"/>
      <c r="CA79" s="75"/>
      <c r="CB79" s="62"/>
      <c r="CC79" s="76"/>
      <c r="CD79" s="75"/>
      <c r="CE79" s="62"/>
      <c r="CF79" s="76"/>
      <c r="CG79" s="77"/>
      <c r="CH79" s="62"/>
      <c r="CI79" s="62"/>
    </row>
    <row r="80" spans="1:43" ht="12.75">
      <c r="A80" s="79"/>
      <c r="B80" s="12"/>
      <c r="C80" s="8"/>
      <c r="D80" s="64"/>
      <c r="E80" s="29"/>
      <c r="F80" s="63">
        <f t="shared" si="3"/>
        <v>0</v>
      </c>
      <c r="G80" s="61"/>
      <c r="H80" s="188"/>
      <c r="I80" s="188"/>
      <c r="J80" s="188"/>
      <c r="K80" s="188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</row>
    <row r="81" spans="1:43" ht="12.75">
      <c r="A81" s="13"/>
      <c r="B81" s="14"/>
      <c r="C81" s="15"/>
      <c r="D81" s="64"/>
      <c r="E81" s="30"/>
      <c r="F81" s="67">
        <f t="shared" si="3"/>
        <v>0</v>
      </c>
      <c r="G81" s="61"/>
      <c r="H81" s="188"/>
      <c r="I81" s="188"/>
      <c r="J81" s="188"/>
      <c r="K81" s="188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</row>
    <row r="82" spans="1:43" ht="12.75">
      <c r="A82" s="156" t="s">
        <v>33</v>
      </c>
      <c r="B82" s="157"/>
      <c r="C82" s="150"/>
      <c r="D82" s="151"/>
      <c r="E82" s="161"/>
      <c r="F82" s="153">
        <f>SUM(F83:F85)</f>
        <v>500000</v>
      </c>
      <c r="G82" s="154"/>
      <c r="H82" s="154"/>
      <c r="I82" s="198">
        <f>SUM(I83:I85)</f>
        <v>0</v>
      </c>
      <c r="J82" s="198">
        <f>SUM(J83:J85)</f>
        <v>0</v>
      </c>
      <c r="K82" s="154"/>
      <c r="L82" s="155"/>
      <c r="M82" s="153">
        <f>SUM(M83:M85)</f>
        <v>0</v>
      </c>
      <c r="N82" s="153">
        <f>SUM(N83:N85)</f>
        <v>0</v>
      </c>
      <c r="O82" s="155"/>
      <c r="P82" s="155"/>
      <c r="Q82" s="153">
        <f>SUM(Q83:Q85)</f>
        <v>0</v>
      </c>
      <c r="R82" s="153">
        <f>SUM(R83:R85)</f>
        <v>0</v>
      </c>
      <c r="S82" s="155"/>
      <c r="T82" s="155"/>
      <c r="U82" s="153">
        <f>SUM(U83:U85)</f>
        <v>0</v>
      </c>
      <c r="V82" s="153">
        <f>SUM(V83:V85)</f>
        <v>0</v>
      </c>
      <c r="W82" s="155"/>
      <c r="X82" s="155"/>
      <c r="Y82" s="153">
        <f>SUM(Y83:Y85)</f>
        <v>0</v>
      </c>
      <c r="Z82" s="153">
        <f>SUM(Z83:Z85)</f>
        <v>0</v>
      </c>
      <c r="AA82" s="155"/>
      <c r="AB82" s="155"/>
      <c r="AC82" s="153">
        <f>SUM(AC83:AC85)</f>
        <v>0</v>
      </c>
      <c r="AD82" s="153">
        <f>SUM(AD83:AD85)</f>
        <v>0</v>
      </c>
      <c r="AE82" s="155"/>
      <c r="AF82" s="155"/>
      <c r="AG82" s="153">
        <f>SUM(AG83:AG85)</f>
        <v>0</v>
      </c>
      <c r="AH82" s="153">
        <f>SUM(AH83:AH85)</f>
        <v>0</v>
      </c>
      <c r="AI82" s="155"/>
      <c r="AJ82" s="155"/>
      <c r="AK82" s="153">
        <f>SUM(AK83:AK85)</f>
        <v>0</v>
      </c>
      <c r="AL82" s="153">
        <f>SUM(AL83:AL85)</f>
        <v>0</v>
      </c>
      <c r="AM82" s="155"/>
      <c r="AN82" s="155"/>
      <c r="AO82" s="153">
        <f>SUM(AO83:AO85)</f>
        <v>0</v>
      </c>
      <c r="AP82" s="153">
        <f>SUM(AP83:AP85)</f>
        <v>0</v>
      </c>
      <c r="AQ82" s="155"/>
    </row>
    <row r="83" spans="1:43" ht="25.5">
      <c r="A83" s="13" t="s">
        <v>101</v>
      </c>
      <c r="B83" s="16">
        <v>1</v>
      </c>
      <c r="C83" s="14"/>
      <c r="D83" s="64">
        <v>1</v>
      </c>
      <c r="E83" s="29">
        <v>500000</v>
      </c>
      <c r="F83" s="63">
        <f>E83*D83*B83</f>
        <v>500000</v>
      </c>
      <c r="G83" s="61" t="s">
        <v>205</v>
      </c>
      <c r="H83" s="188"/>
      <c r="I83" s="188"/>
      <c r="J83" s="188"/>
      <c r="K83" s="188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</row>
    <row r="84" spans="1:43" ht="25.5" hidden="1">
      <c r="A84" s="13" t="s">
        <v>206</v>
      </c>
      <c r="B84" s="16">
        <v>1</v>
      </c>
      <c r="C84" s="40" t="s">
        <v>105</v>
      </c>
      <c r="D84" s="64">
        <v>3</v>
      </c>
      <c r="E84" s="38">
        <f>(F64+F46+F29+F9)/B1/12</f>
        <v>20.602576884920634</v>
      </c>
      <c r="F84" s="63"/>
      <c r="G84" s="61" t="s">
        <v>266</v>
      </c>
      <c r="H84" s="188"/>
      <c r="I84" s="188"/>
      <c r="J84" s="188"/>
      <c r="K84" s="188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</row>
    <row r="85" spans="1:43" ht="12.75">
      <c r="A85" s="13"/>
      <c r="B85" s="16"/>
      <c r="C85" s="14"/>
      <c r="D85" s="64"/>
      <c r="E85" s="29"/>
      <c r="F85" s="67">
        <f>E85*D85*B85</f>
        <v>0</v>
      </c>
      <c r="G85" s="61"/>
      <c r="H85" s="188"/>
      <c r="I85" s="188"/>
      <c r="J85" s="188"/>
      <c r="K85" s="188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</row>
    <row r="86" spans="1:43" ht="12.75" hidden="1">
      <c r="A86" s="13"/>
      <c r="B86" s="14"/>
      <c r="C86" s="15"/>
      <c r="D86" s="64"/>
      <c r="E86" s="30"/>
      <c r="F86" s="106"/>
      <c r="G86" s="61"/>
      <c r="H86" s="188"/>
      <c r="I86" s="188"/>
      <c r="J86" s="188"/>
      <c r="K86" s="188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</row>
    <row r="87" spans="1:43" ht="12.75">
      <c r="A87" s="156" t="s">
        <v>27</v>
      </c>
      <c r="B87" s="157"/>
      <c r="C87" s="150"/>
      <c r="D87" s="151"/>
      <c r="E87" s="161"/>
      <c r="F87" s="156">
        <f>SUM(F88:F92)</f>
        <v>260000</v>
      </c>
      <c r="G87" s="157"/>
      <c r="H87" s="201"/>
      <c r="I87" s="148">
        <f>SUM(I88:I92)</f>
        <v>0</v>
      </c>
      <c r="J87" s="148">
        <f>SUM(J88:J92)</f>
        <v>0</v>
      </c>
      <c r="K87" s="148"/>
      <c r="L87" s="150"/>
      <c r="M87" s="156">
        <f>SUM(M88:M92)</f>
        <v>0</v>
      </c>
      <c r="N87" s="156">
        <f>SUM(N88:N92)</f>
        <v>0</v>
      </c>
      <c r="O87" s="156"/>
      <c r="P87" s="150"/>
      <c r="Q87" s="156">
        <f>SUM(Q88:Q92)</f>
        <v>0</v>
      </c>
      <c r="R87" s="156">
        <f>SUM(R88:R92)</f>
        <v>0</v>
      </c>
      <c r="S87" s="156"/>
      <c r="T87" s="150"/>
      <c r="U87" s="156">
        <f>SUM(U88:U92)</f>
        <v>0</v>
      </c>
      <c r="V87" s="156">
        <f>SUM(V88:V92)</f>
        <v>0</v>
      </c>
      <c r="W87" s="156"/>
      <c r="X87" s="150"/>
      <c r="Y87" s="156">
        <f>SUM(Y88:Y92)</f>
        <v>0</v>
      </c>
      <c r="Z87" s="156">
        <f>SUM(Z88:Z92)</f>
        <v>0</v>
      </c>
      <c r="AA87" s="156"/>
      <c r="AB87" s="150"/>
      <c r="AC87" s="156">
        <f>SUM(AC88:AC92)</f>
        <v>0</v>
      </c>
      <c r="AD87" s="156">
        <f>SUM(AD88:AD92)</f>
        <v>0</v>
      </c>
      <c r="AE87" s="156"/>
      <c r="AF87" s="150"/>
      <c r="AG87" s="156">
        <f>SUM(AG88:AG92)</f>
        <v>0</v>
      </c>
      <c r="AH87" s="156">
        <f>SUM(AH88:AH92)</f>
        <v>0</v>
      </c>
      <c r="AI87" s="156"/>
      <c r="AJ87" s="150"/>
      <c r="AK87" s="156">
        <f>SUM(AK88:AK92)</f>
        <v>0</v>
      </c>
      <c r="AL87" s="156">
        <f>SUM(AL88:AL92)</f>
        <v>0</v>
      </c>
      <c r="AM87" s="156"/>
      <c r="AN87" s="150"/>
      <c r="AO87" s="156">
        <f>SUM(AO88:AO92)</f>
        <v>0</v>
      </c>
      <c r="AP87" s="156">
        <f>SUM(AP88:AP92)</f>
        <v>0</v>
      </c>
      <c r="AQ87" s="156"/>
    </row>
    <row r="88" spans="1:43" ht="12.75" hidden="1">
      <c r="A88" s="13" t="s">
        <v>18</v>
      </c>
      <c r="B88" s="6"/>
      <c r="C88" s="5" t="s">
        <v>15</v>
      </c>
      <c r="D88" s="64">
        <v>10</v>
      </c>
      <c r="E88" s="29">
        <v>3000</v>
      </c>
      <c r="F88" s="63">
        <f>E88*D88*B88</f>
        <v>0</v>
      </c>
      <c r="G88" s="61"/>
      <c r="H88" s="188"/>
      <c r="I88" s="188"/>
      <c r="J88" s="188"/>
      <c r="K88" s="188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</row>
    <row r="89" spans="1:43" ht="12.75">
      <c r="A89" s="80" t="s">
        <v>60</v>
      </c>
      <c r="B89" s="6">
        <v>3</v>
      </c>
      <c r="C89" s="5" t="s">
        <v>16</v>
      </c>
      <c r="D89" s="64">
        <v>1</v>
      </c>
      <c r="E89" s="29">
        <v>20000</v>
      </c>
      <c r="F89" s="63">
        <f>E89*D89*B89</f>
        <v>60000</v>
      </c>
      <c r="G89" s="61"/>
      <c r="H89" s="188"/>
      <c r="I89" s="188"/>
      <c r="J89" s="188"/>
      <c r="K89" s="188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</row>
    <row r="90" spans="1:43" ht="25.5">
      <c r="A90" s="80" t="s">
        <v>17</v>
      </c>
      <c r="B90" s="6">
        <v>1</v>
      </c>
      <c r="C90" s="5" t="s">
        <v>1</v>
      </c>
      <c r="D90" s="64">
        <v>1</v>
      </c>
      <c r="E90" s="29">
        <v>200000</v>
      </c>
      <c r="F90" s="63">
        <f>E90*D90*B90</f>
        <v>200000</v>
      </c>
      <c r="G90" s="61"/>
      <c r="H90" s="188"/>
      <c r="I90" s="188"/>
      <c r="J90" s="188"/>
      <c r="K90" s="188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</row>
    <row r="91" spans="1:43" ht="12.75">
      <c r="A91" s="80"/>
      <c r="B91" s="6"/>
      <c r="C91" s="5"/>
      <c r="D91" s="64"/>
      <c r="E91" s="29">
        <v>0</v>
      </c>
      <c r="F91" s="67">
        <f>E91*D91*B91</f>
        <v>0</v>
      </c>
      <c r="G91" s="61"/>
      <c r="H91" s="188"/>
      <c r="I91" s="188"/>
      <c r="J91" s="188"/>
      <c r="K91" s="188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</row>
    <row r="92" spans="1:43" ht="12.75" hidden="1">
      <c r="A92" s="162"/>
      <c r="B92" s="141"/>
      <c r="C92" s="142"/>
      <c r="D92" s="122"/>
      <c r="E92" s="131">
        <v>0</v>
      </c>
      <c r="F92" s="124"/>
      <c r="G92" s="125"/>
      <c r="H92" s="189"/>
      <c r="I92" s="189"/>
      <c r="J92" s="189"/>
      <c r="K92" s="189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</row>
    <row r="93" spans="1:43" ht="12.75">
      <c r="A93" s="156" t="s">
        <v>6</v>
      </c>
      <c r="B93" s="157"/>
      <c r="C93" s="150"/>
      <c r="D93" s="151"/>
      <c r="E93" s="161"/>
      <c r="F93" s="153">
        <f>SUM(F94:F100)</f>
        <v>342459.7333333333</v>
      </c>
      <c r="G93" s="157"/>
      <c r="H93" s="199"/>
      <c r="I93" s="198">
        <f>SUM(I94:I100)</f>
        <v>16000</v>
      </c>
      <c r="J93" s="198">
        <f>SUM(J94:J100)</f>
        <v>0</v>
      </c>
      <c r="K93" s="199"/>
      <c r="L93" s="157"/>
      <c r="M93" s="153">
        <f>SUM(M94:M100)</f>
        <v>0</v>
      </c>
      <c r="N93" s="153">
        <f>SUM(N94:N100)</f>
        <v>0</v>
      </c>
      <c r="O93" s="157"/>
      <c r="P93" s="157"/>
      <c r="Q93" s="153">
        <f>SUM(Q94:Q100)</f>
        <v>0</v>
      </c>
      <c r="R93" s="153">
        <f>SUM(R94:R100)</f>
        <v>0</v>
      </c>
      <c r="S93" s="157"/>
      <c r="T93" s="157"/>
      <c r="U93" s="153">
        <f>SUM(U94:U100)</f>
        <v>0</v>
      </c>
      <c r="V93" s="153">
        <f>SUM(V94:V100)</f>
        <v>0</v>
      </c>
      <c r="W93" s="157"/>
      <c r="X93" s="157"/>
      <c r="Y93" s="153">
        <f>SUM(Y94:Y100)</f>
        <v>0</v>
      </c>
      <c r="Z93" s="153">
        <f>SUM(Z94:Z100)</f>
        <v>0</v>
      </c>
      <c r="AA93" s="157"/>
      <c r="AB93" s="157"/>
      <c r="AC93" s="153">
        <f>SUM(AC94:AC100)</f>
        <v>0</v>
      </c>
      <c r="AD93" s="153">
        <f>SUM(AD94:AD100)</f>
        <v>0</v>
      </c>
      <c r="AE93" s="157"/>
      <c r="AF93" s="157"/>
      <c r="AG93" s="153">
        <f>SUM(AG94:AG100)</f>
        <v>0</v>
      </c>
      <c r="AH93" s="153">
        <f>SUM(AH94:AH100)</f>
        <v>0</v>
      </c>
      <c r="AI93" s="157"/>
      <c r="AJ93" s="157"/>
      <c r="AK93" s="153">
        <f>SUM(AK94:AK100)</f>
        <v>0</v>
      </c>
      <c r="AL93" s="153">
        <f>SUM(AL94:AL100)</f>
        <v>0</v>
      </c>
      <c r="AM93" s="157"/>
      <c r="AN93" s="157"/>
      <c r="AO93" s="153">
        <f>SUM(AO94:AO100)</f>
        <v>0</v>
      </c>
      <c r="AP93" s="153">
        <f>SUM(AP94:AP100)</f>
        <v>0</v>
      </c>
      <c r="AQ93" s="157"/>
    </row>
    <row r="94" spans="1:43" ht="25.5">
      <c r="A94" s="81" t="s">
        <v>58</v>
      </c>
      <c r="B94" s="138">
        <v>2</v>
      </c>
      <c r="C94" s="143" t="s">
        <v>87</v>
      </c>
      <c r="D94" s="59">
        <v>1</v>
      </c>
      <c r="E94" s="144">
        <v>8000</v>
      </c>
      <c r="F94" s="60">
        <f aca="true" t="shared" si="4" ref="F94:F100">E94*D94*B94</f>
        <v>16000</v>
      </c>
      <c r="G94" s="108"/>
      <c r="H94" s="202"/>
      <c r="I94" s="197">
        <v>16000</v>
      </c>
      <c r="J94" s="197"/>
      <c r="K94" s="197" t="s">
        <v>324</v>
      </c>
      <c r="L94" s="203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</row>
    <row r="95" spans="1:43" ht="12.75">
      <c r="A95" s="13" t="s">
        <v>59</v>
      </c>
      <c r="B95" s="14">
        <v>1</v>
      </c>
      <c r="C95" s="15" t="s">
        <v>87</v>
      </c>
      <c r="D95" s="64">
        <v>4</v>
      </c>
      <c r="E95" s="30">
        <v>2000</v>
      </c>
      <c r="F95" s="63">
        <f t="shared" si="4"/>
        <v>8000</v>
      </c>
      <c r="G95" s="61"/>
      <c r="H95" s="188"/>
      <c r="I95" s="188"/>
      <c r="J95" s="188"/>
      <c r="K95" s="188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</row>
    <row r="96" spans="1:43" ht="12.75">
      <c r="A96" s="13" t="s">
        <v>88</v>
      </c>
      <c r="B96" s="14">
        <v>1</v>
      </c>
      <c r="C96" s="15" t="s">
        <v>87</v>
      </c>
      <c r="D96" s="64">
        <v>4</v>
      </c>
      <c r="E96" s="30">
        <v>8000</v>
      </c>
      <c r="F96" s="63">
        <f t="shared" si="4"/>
        <v>32000</v>
      </c>
      <c r="G96" s="61"/>
      <c r="H96" s="188"/>
      <c r="I96" s="188"/>
      <c r="J96" s="188"/>
      <c r="K96" s="188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</row>
    <row r="97" spans="1:43" ht="25.5">
      <c r="A97" s="80" t="s">
        <v>103</v>
      </c>
      <c r="B97" s="6">
        <f>10*5</f>
        <v>50</v>
      </c>
      <c r="C97" s="5" t="s">
        <v>10</v>
      </c>
      <c r="D97" s="64">
        <v>2</v>
      </c>
      <c r="E97" s="29">
        <v>500</v>
      </c>
      <c r="F97" s="63">
        <f t="shared" si="4"/>
        <v>50000</v>
      </c>
      <c r="G97" s="61"/>
      <c r="H97" s="188"/>
      <c r="I97" s="188"/>
      <c r="J97" s="188"/>
      <c r="K97" s="188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</row>
    <row r="98" spans="1:43" ht="12.75">
      <c r="A98" s="13" t="s">
        <v>26</v>
      </c>
      <c r="B98" s="14">
        <v>1</v>
      </c>
      <c r="C98" s="15" t="s">
        <v>89</v>
      </c>
      <c r="D98" s="64">
        <v>1</v>
      </c>
      <c r="E98" s="30">
        <v>10000</v>
      </c>
      <c r="F98" s="63">
        <f t="shared" si="4"/>
        <v>10000</v>
      </c>
      <c r="G98" s="61"/>
      <c r="H98" s="188"/>
      <c r="I98" s="188"/>
      <c r="J98" s="188"/>
      <c r="K98" s="188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</row>
    <row r="99" spans="1:43" ht="25.5">
      <c r="A99" s="17" t="s">
        <v>28</v>
      </c>
      <c r="B99" s="14">
        <v>1</v>
      </c>
      <c r="C99" s="15" t="s">
        <v>1</v>
      </c>
      <c r="D99" s="64">
        <v>1</v>
      </c>
      <c r="E99" s="30">
        <f>(F87+F64+F46+F29+F64)/100</f>
        <v>226459.7333333333</v>
      </c>
      <c r="F99" s="63">
        <f t="shared" si="4"/>
        <v>226459.7333333333</v>
      </c>
      <c r="G99" s="61"/>
      <c r="H99" s="188"/>
      <c r="I99" s="188"/>
      <c r="J99" s="188"/>
      <c r="K99" s="188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</row>
    <row r="100" spans="1:43" ht="12.75">
      <c r="A100" s="82"/>
      <c r="B100" s="83"/>
      <c r="C100" s="84"/>
      <c r="D100" s="84"/>
      <c r="E100" s="85"/>
      <c r="F100" s="84">
        <f t="shared" si="4"/>
        <v>0</v>
      </c>
      <c r="G100" s="125"/>
      <c r="H100" s="189"/>
      <c r="I100" s="189"/>
      <c r="J100" s="189"/>
      <c r="K100" s="189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</row>
    <row r="101" spans="1:43" ht="12.75">
      <c r="A101" s="148" t="s">
        <v>20</v>
      </c>
      <c r="B101" s="149"/>
      <c r="C101" s="150"/>
      <c r="D101" s="151"/>
      <c r="E101" s="152"/>
      <c r="F101" s="153">
        <f>F93+F87+F82+F64+F46+F29+F9</f>
        <v>28792323.066666666</v>
      </c>
      <c r="G101" s="154"/>
      <c r="H101" s="154"/>
      <c r="I101" s="198">
        <f>I93+I87+I82+I64+I46+I29+I9</f>
        <v>5310260</v>
      </c>
      <c r="J101" s="198">
        <f>J93+J87+J82+J64+J46+J29+J9</f>
        <v>125000</v>
      </c>
      <c r="K101" s="154"/>
      <c r="L101" s="155"/>
      <c r="M101" s="153">
        <f>M93+M87+M82+M64+M46+M29+M9</f>
        <v>0</v>
      </c>
      <c r="N101" s="153">
        <f>N93+N87+N82+N64+N46+N29+N9</f>
        <v>0</v>
      </c>
      <c r="O101" s="155"/>
      <c r="P101" s="155"/>
      <c r="Q101" s="153">
        <f>Q93+Q87+Q82+Q64+Q46+Q29+Q9</f>
        <v>0</v>
      </c>
      <c r="R101" s="153">
        <f>R93+R87+R82+R64+R46+R29+R9</f>
        <v>0</v>
      </c>
      <c r="S101" s="155"/>
      <c r="T101" s="155"/>
      <c r="U101" s="153">
        <f>U93+U87+U82+U64+U46+U29+U9</f>
        <v>0</v>
      </c>
      <c r="V101" s="153">
        <f>V93+V87+V82+V64+V46+V29+V9</f>
        <v>0</v>
      </c>
      <c r="W101" s="155"/>
      <c r="X101" s="155"/>
      <c r="Y101" s="153">
        <f>Y93+Y87+Y82+Y64+Y46+Y29+Y9</f>
        <v>0</v>
      </c>
      <c r="Z101" s="153">
        <f>Z93+Z87+Z82+Z64+Z46+Z29+Z9</f>
        <v>0</v>
      </c>
      <c r="AA101" s="155"/>
      <c r="AB101" s="155"/>
      <c r="AC101" s="153">
        <f>AC93+AC87+AC82+AC64+AC46+AC29+AC9</f>
        <v>260000</v>
      </c>
      <c r="AD101" s="153">
        <f>AD93+AD87+AD82+AD64+AD46+AD29+AD9</f>
        <v>240000</v>
      </c>
      <c r="AE101" s="155"/>
      <c r="AF101" s="155"/>
      <c r="AG101" s="153">
        <f>AG93+AG87+AG82+AG64+AG46+AG29+AG9</f>
        <v>0</v>
      </c>
      <c r="AH101" s="153">
        <f>AH93+AH87+AH82+AH64+AH46+AH29+AH9</f>
        <v>0</v>
      </c>
      <c r="AI101" s="155"/>
      <c r="AJ101" s="155"/>
      <c r="AK101" s="153">
        <f>AK93+AK87+AK82+AK64+AK46+AK29+AK9</f>
        <v>0</v>
      </c>
      <c r="AL101" s="153">
        <f>AL93+AL87+AL82+AL64+AL46+AL29+AL9</f>
        <v>0</v>
      </c>
      <c r="AM101" s="155"/>
      <c r="AN101" s="155"/>
      <c r="AO101" s="153">
        <f>AO93+AO87+AO82+AO64+AO46+AO29+AO9</f>
        <v>0</v>
      </c>
      <c r="AP101" s="153">
        <f>AP93+AP87+AP82+AP64+AP46+AP29+AP9</f>
        <v>0</v>
      </c>
      <c r="AQ101" s="155"/>
    </row>
    <row r="102" spans="1:43" ht="12.75">
      <c r="A102" s="148" t="s">
        <v>29</v>
      </c>
      <c r="B102" s="149"/>
      <c r="C102" s="150"/>
      <c r="D102" s="151"/>
      <c r="E102" s="152"/>
      <c r="F102" s="153">
        <f>F101*35/100</f>
        <v>10077313.073333334</v>
      </c>
      <c r="G102" s="154"/>
      <c r="H102" s="154"/>
      <c r="I102" s="198">
        <f>I101*35/100</f>
        <v>1858591</v>
      </c>
      <c r="J102" s="198">
        <f>J101*35/100</f>
        <v>43750</v>
      </c>
      <c r="K102" s="154"/>
      <c r="L102" s="155"/>
      <c r="M102" s="153">
        <f>M101*35/100</f>
        <v>0</v>
      </c>
      <c r="N102" s="153">
        <f>N101*35/100</f>
        <v>0</v>
      </c>
      <c r="O102" s="155"/>
      <c r="P102" s="155"/>
      <c r="Q102" s="153">
        <f>Q101*35/100</f>
        <v>0</v>
      </c>
      <c r="R102" s="153">
        <f>R101*35/100</f>
        <v>0</v>
      </c>
      <c r="S102" s="155"/>
      <c r="T102" s="155"/>
      <c r="U102" s="153">
        <f>U101*35/100</f>
        <v>0</v>
      </c>
      <c r="V102" s="153">
        <f>V101*35/100</f>
        <v>0</v>
      </c>
      <c r="W102" s="155"/>
      <c r="X102" s="155"/>
      <c r="Y102" s="153">
        <f>Y101*35/100</f>
        <v>0</v>
      </c>
      <c r="Z102" s="153">
        <f>Z101*35/100</f>
        <v>0</v>
      </c>
      <c r="AA102" s="155"/>
      <c r="AB102" s="155"/>
      <c r="AC102" s="153">
        <f>AC101*35/100</f>
        <v>91000</v>
      </c>
      <c r="AD102" s="153">
        <f>AD101*35/100</f>
        <v>84000</v>
      </c>
      <c r="AE102" s="155"/>
      <c r="AF102" s="155"/>
      <c r="AG102" s="153">
        <f>AG101*35/100</f>
        <v>0</v>
      </c>
      <c r="AH102" s="153">
        <f>AH101*35/100</f>
        <v>0</v>
      </c>
      <c r="AI102" s="155"/>
      <c r="AJ102" s="155"/>
      <c r="AK102" s="153">
        <f>AK101*35/100</f>
        <v>0</v>
      </c>
      <c r="AL102" s="153">
        <f>AL101*35/100</f>
        <v>0</v>
      </c>
      <c r="AM102" s="155"/>
      <c r="AN102" s="155"/>
      <c r="AO102" s="153">
        <f>AO101*35/100</f>
        <v>0</v>
      </c>
      <c r="AP102" s="153">
        <f>AP101*35/100</f>
        <v>0</v>
      </c>
      <c r="AQ102" s="155"/>
    </row>
    <row r="103" spans="1:43" ht="12.75">
      <c r="A103" s="148" t="s">
        <v>25</v>
      </c>
      <c r="B103" s="149"/>
      <c r="C103" s="150"/>
      <c r="D103" s="151"/>
      <c r="E103" s="152"/>
      <c r="F103" s="153">
        <f>F102+F101</f>
        <v>38869636.14</v>
      </c>
      <c r="G103" s="154"/>
      <c r="H103" s="154"/>
      <c r="I103" s="198">
        <f>I102+I101</f>
        <v>7168851</v>
      </c>
      <c r="J103" s="198">
        <f>J102+J101</f>
        <v>168750</v>
      </c>
      <c r="K103" s="154"/>
      <c r="L103" s="155"/>
      <c r="M103" s="153">
        <f>M102+M101</f>
        <v>0</v>
      </c>
      <c r="N103" s="153">
        <f>N102+N101</f>
        <v>0</v>
      </c>
      <c r="O103" s="155"/>
      <c r="P103" s="155"/>
      <c r="Q103" s="153">
        <f>Q102+Q101</f>
        <v>0</v>
      </c>
      <c r="R103" s="153">
        <f>R102+R101</f>
        <v>0</v>
      </c>
      <c r="S103" s="155"/>
      <c r="T103" s="155"/>
      <c r="U103" s="153">
        <f>U102+U101</f>
        <v>0</v>
      </c>
      <c r="V103" s="153">
        <f>V102+V101</f>
        <v>0</v>
      </c>
      <c r="W103" s="155"/>
      <c r="X103" s="155"/>
      <c r="Y103" s="153">
        <f>Y102+Y101</f>
        <v>0</v>
      </c>
      <c r="Z103" s="153">
        <f>Z102+Z101</f>
        <v>0</v>
      </c>
      <c r="AA103" s="155"/>
      <c r="AB103" s="155"/>
      <c r="AC103" s="153">
        <f>AC102+AC101</f>
        <v>351000</v>
      </c>
      <c r="AD103" s="153">
        <f>AD102+AD101</f>
        <v>324000</v>
      </c>
      <c r="AE103" s="155"/>
      <c r="AF103" s="155"/>
      <c r="AG103" s="153">
        <f>AG102+AG101</f>
        <v>0</v>
      </c>
      <c r="AH103" s="153">
        <f>AH102+AH101</f>
        <v>0</v>
      </c>
      <c r="AI103" s="155"/>
      <c r="AJ103" s="155"/>
      <c r="AK103" s="153">
        <f>AK102+AK101</f>
        <v>0</v>
      </c>
      <c r="AL103" s="153">
        <f>AL102+AL101</f>
        <v>0</v>
      </c>
      <c r="AM103" s="155"/>
      <c r="AN103" s="155"/>
      <c r="AO103" s="153">
        <f>AO102+AO101</f>
        <v>0</v>
      </c>
      <c r="AP103" s="153">
        <f>AP102+AP101</f>
        <v>0</v>
      </c>
      <c r="AQ103" s="155"/>
    </row>
  </sheetData>
  <sheetProtection formatCells="0" insertRows="0"/>
  <mergeCells count="14">
    <mergeCell ref="H7:K7"/>
    <mergeCell ref="C2:E2"/>
    <mergeCell ref="C1:E1"/>
    <mergeCell ref="C3:E3"/>
    <mergeCell ref="E4:F4"/>
    <mergeCell ref="E5:F5"/>
    <mergeCell ref="AJ7:AM7"/>
    <mergeCell ref="AN7:AQ7"/>
    <mergeCell ref="L7:O7"/>
    <mergeCell ref="P7:S7"/>
    <mergeCell ref="T7:W7"/>
    <mergeCell ref="X7:AA7"/>
    <mergeCell ref="AB7:AE7"/>
    <mergeCell ref="AF7:AI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71"/>
  <sheetViews>
    <sheetView tabSelected="1" zoomScalePageLayoutView="0" workbookViewId="0" topLeftCell="A1">
      <pane xSplit="6" ySplit="9" topLeftCell="G9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11" sqref="A111"/>
    </sheetView>
  </sheetViews>
  <sheetFormatPr defaultColWidth="9.140625" defaultRowHeight="12.75"/>
  <cols>
    <col min="1" max="1" width="39.8515625" style="55" customWidth="1"/>
    <col min="2" max="2" width="9.140625" style="57" customWidth="1"/>
    <col min="3" max="3" width="10.57421875" style="55" customWidth="1"/>
    <col min="4" max="5" width="9.140625" style="55" customWidth="1"/>
    <col min="6" max="6" width="10.421875" style="55" customWidth="1"/>
    <col min="7" max="7" width="41.57421875" style="95" customWidth="1"/>
    <col min="8" max="9" width="16.28125" style="95" hidden="1" customWidth="1"/>
    <col min="10" max="10" width="11.421875" style="95" hidden="1" customWidth="1"/>
    <col min="11" max="11" width="19.421875" style="95" hidden="1" customWidth="1"/>
    <col min="12" max="13" width="16.28125" style="95" hidden="1" customWidth="1"/>
    <col min="14" max="14" width="11.421875" style="95" hidden="1" customWidth="1"/>
    <col min="15" max="15" width="19.421875" style="95" hidden="1" customWidth="1"/>
    <col min="16" max="17" width="16.28125" style="95" hidden="1" customWidth="1"/>
    <col min="18" max="18" width="11.421875" style="95" hidden="1" customWidth="1"/>
    <col min="19" max="19" width="19.421875" style="95" hidden="1" customWidth="1"/>
    <col min="20" max="21" width="16.28125" style="95" hidden="1" customWidth="1"/>
    <col min="22" max="22" width="11.421875" style="95" hidden="1" customWidth="1"/>
    <col min="23" max="23" width="19.421875" style="95" hidden="1" customWidth="1"/>
    <col min="24" max="25" width="16.28125" style="95" hidden="1" customWidth="1"/>
    <col min="26" max="26" width="11.421875" style="95" hidden="1" customWidth="1"/>
    <col min="27" max="27" width="19.421875" style="95" hidden="1" customWidth="1"/>
    <col min="28" max="29" width="16.28125" style="95" hidden="1" customWidth="1"/>
    <col min="30" max="30" width="11.421875" style="95" hidden="1" customWidth="1"/>
    <col min="31" max="31" width="19.421875" style="95" hidden="1" customWidth="1"/>
    <col min="32" max="33" width="16.28125" style="95" hidden="1" customWidth="1"/>
    <col min="34" max="34" width="11.421875" style="95" hidden="1" customWidth="1"/>
    <col min="35" max="35" width="19.421875" style="95" hidden="1" customWidth="1"/>
    <col min="36" max="37" width="16.28125" style="95" hidden="1" customWidth="1"/>
    <col min="38" max="38" width="11.421875" style="95" hidden="1" customWidth="1"/>
    <col min="39" max="39" width="19.421875" style="95" hidden="1" customWidth="1"/>
    <col min="40" max="41" width="16.28125" style="95" hidden="1" customWidth="1"/>
    <col min="42" max="42" width="11.421875" style="95" hidden="1" customWidth="1"/>
    <col min="43" max="43" width="19.421875" style="95" hidden="1" customWidth="1"/>
    <col min="44" max="45" width="16.28125" style="95" hidden="1" customWidth="1"/>
    <col min="46" max="46" width="11.421875" style="95" hidden="1" customWidth="1"/>
    <col min="47" max="47" width="19.421875" style="95" hidden="1" customWidth="1"/>
    <col min="48" max="49" width="16.28125" style="95" hidden="1" customWidth="1"/>
    <col min="50" max="50" width="11.421875" style="95" hidden="1" customWidth="1"/>
    <col min="51" max="51" width="19.421875" style="95" hidden="1" customWidth="1"/>
    <col min="52" max="53" width="16.28125" style="95" hidden="1" customWidth="1"/>
    <col min="54" max="54" width="11.421875" style="95" hidden="1" customWidth="1"/>
    <col min="55" max="55" width="19.421875" style="95" hidden="1" customWidth="1"/>
    <col min="56" max="57" width="16.28125" style="95" hidden="1" customWidth="1"/>
    <col min="58" max="58" width="11.421875" style="95" hidden="1" customWidth="1"/>
    <col min="59" max="59" width="19.421875" style="95" hidden="1" customWidth="1"/>
    <col min="60" max="61" width="16.28125" style="95" hidden="1" customWidth="1"/>
    <col min="62" max="62" width="11.421875" style="95" hidden="1" customWidth="1"/>
    <col min="63" max="63" width="19.421875" style="95" hidden="1" customWidth="1"/>
    <col min="64" max="67" width="11.421875" style="55" hidden="1" customWidth="1"/>
    <col min="68" max="70" width="11.421875" style="55" customWidth="1"/>
    <col min="71" max="73" width="0" style="55" hidden="1" customWidth="1"/>
    <col min="74" max="16384" width="9.140625" style="55" customWidth="1"/>
  </cols>
  <sheetData>
    <row r="1" spans="1:70" ht="13.5" customHeight="1">
      <c r="A1" s="86" t="s">
        <v>19</v>
      </c>
      <c r="B1" s="98">
        <v>130000</v>
      </c>
      <c r="C1" s="370" t="s">
        <v>223</v>
      </c>
      <c r="D1" s="371"/>
      <c r="E1" s="372"/>
      <c r="F1" s="86">
        <v>12</v>
      </c>
      <c r="G1" s="373"/>
      <c r="H1" s="94"/>
      <c r="I1" s="94"/>
      <c r="L1" s="94"/>
      <c r="M1" s="94"/>
      <c r="P1" s="94"/>
      <c r="Q1" s="94"/>
      <c r="T1" s="94"/>
      <c r="U1" s="94"/>
      <c r="X1" s="94"/>
      <c r="Y1" s="94"/>
      <c r="AB1" s="94"/>
      <c r="AC1" s="94"/>
      <c r="AF1" s="94"/>
      <c r="AG1" s="94"/>
      <c r="AJ1" s="94"/>
      <c r="AK1" s="94"/>
      <c r="AN1" s="94"/>
      <c r="AO1" s="94"/>
      <c r="AR1" s="94"/>
      <c r="AS1" s="94"/>
      <c r="AV1" s="94"/>
      <c r="AW1" s="94"/>
      <c r="AZ1" s="94"/>
      <c r="BA1" s="94"/>
      <c r="BD1" s="94"/>
      <c r="BE1" s="94"/>
      <c r="BH1" s="94"/>
      <c r="BI1" s="94"/>
      <c r="BL1" s="95"/>
      <c r="BM1" s="95"/>
      <c r="BN1" s="95"/>
      <c r="BO1" s="95"/>
      <c r="BP1" s="95"/>
      <c r="BQ1" s="95"/>
      <c r="BR1" s="95"/>
    </row>
    <row r="2" spans="1:73" ht="13.5">
      <c r="A2" s="86" t="s">
        <v>85</v>
      </c>
      <c r="B2" s="86">
        <v>5</v>
      </c>
      <c r="C2" s="370" t="s">
        <v>126</v>
      </c>
      <c r="D2" s="371"/>
      <c r="E2" s="372"/>
      <c r="F2" s="86">
        <v>5</v>
      </c>
      <c r="G2" s="373"/>
      <c r="H2" s="94"/>
      <c r="I2" s="94"/>
      <c r="L2" s="94"/>
      <c r="M2" s="94"/>
      <c r="P2" s="94"/>
      <c r="Q2" s="94"/>
      <c r="T2" s="94"/>
      <c r="U2" s="94"/>
      <c r="X2" s="94"/>
      <c r="Y2" s="94"/>
      <c r="AB2" s="94"/>
      <c r="AC2" s="94"/>
      <c r="AF2" s="94"/>
      <c r="AG2" s="94"/>
      <c r="AJ2" s="94"/>
      <c r="AK2" s="94"/>
      <c r="AN2" s="94"/>
      <c r="AO2" s="94"/>
      <c r="AR2" s="94"/>
      <c r="AS2" s="94"/>
      <c r="AV2" s="94"/>
      <c r="AW2" s="94"/>
      <c r="AZ2" s="94"/>
      <c r="BA2" s="94"/>
      <c r="BD2" s="94"/>
      <c r="BE2" s="94"/>
      <c r="BH2" s="94"/>
      <c r="BI2" s="94"/>
      <c r="BS2" s="55" t="s">
        <v>298</v>
      </c>
      <c r="BT2" s="28">
        <f>SUMIF(BS10:BS109,"x",F10:F109)/B1/6</f>
        <v>16.802746214896214</v>
      </c>
      <c r="BU2" s="55" t="s">
        <v>301</v>
      </c>
    </row>
    <row r="3" spans="1:73" ht="13.5">
      <c r="A3" s="99" t="s">
        <v>147</v>
      </c>
      <c r="B3" s="86">
        <v>3</v>
      </c>
      <c r="C3" s="186" t="s">
        <v>298</v>
      </c>
      <c r="D3" s="31">
        <f>SUMIF(BS10:BS109,"x",F10:F109)/B1/6</f>
        <v>16.802746214896214</v>
      </c>
      <c r="E3" s="369" t="s">
        <v>301</v>
      </c>
      <c r="F3" s="369"/>
      <c r="G3" s="373"/>
      <c r="H3" s="94"/>
      <c r="I3" s="94"/>
      <c r="L3" s="94"/>
      <c r="M3" s="94"/>
      <c r="P3" s="94"/>
      <c r="Q3" s="94"/>
      <c r="T3" s="94"/>
      <c r="U3" s="94"/>
      <c r="X3" s="94"/>
      <c r="Y3" s="94"/>
      <c r="AB3" s="94"/>
      <c r="AC3" s="94"/>
      <c r="AF3" s="94"/>
      <c r="AG3" s="94"/>
      <c r="AJ3" s="94"/>
      <c r="AK3" s="94"/>
      <c r="AN3" s="94"/>
      <c r="AO3" s="94"/>
      <c r="AR3" s="94"/>
      <c r="AS3" s="94"/>
      <c r="AV3" s="94"/>
      <c r="AW3" s="94"/>
      <c r="AZ3" s="94"/>
      <c r="BA3" s="94"/>
      <c r="BD3" s="94"/>
      <c r="BE3" s="94"/>
      <c r="BH3" s="94"/>
      <c r="BI3" s="94"/>
      <c r="BL3" s="95"/>
      <c r="BM3" s="95"/>
      <c r="BN3" s="95"/>
      <c r="BO3" s="95"/>
      <c r="BP3" s="95"/>
      <c r="BQ3" s="95"/>
      <c r="BR3" s="95"/>
      <c r="BS3" s="55" t="s">
        <v>299</v>
      </c>
      <c r="BT3" s="28">
        <f>SUMIF(BT10:BT109,"x",F10:F109)/B1</f>
        <v>161.36677655677656</v>
      </c>
      <c r="BU3" s="55" t="s">
        <v>302</v>
      </c>
    </row>
    <row r="4" spans="1:70" ht="13.5">
      <c r="A4" s="99" t="s">
        <v>159</v>
      </c>
      <c r="B4" s="86">
        <v>52</v>
      </c>
      <c r="C4" s="186" t="s">
        <v>299</v>
      </c>
      <c r="D4" s="31">
        <f>SUMIF(BT10:BT109,"x",F10:F109)/B1</f>
        <v>161.36677655677656</v>
      </c>
      <c r="E4" s="369" t="s">
        <v>302</v>
      </c>
      <c r="F4" s="369"/>
      <c r="G4" s="96"/>
      <c r="H4" s="96"/>
      <c r="I4" s="96"/>
      <c r="L4" s="96"/>
      <c r="M4" s="96"/>
      <c r="P4" s="96"/>
      <c r="Q4" s="96"/>
      <c r="T4" s="96"/>
      <c r="U4" s="96"/>
      <c r="X4" s="96"/>
      <c r="Y4" s="96"/>
      <c r="AB4" s="96"/>
      <c r="AC4" s="96"/>
      <c r="AF4" s="96"/>
      <c r="AG4" s="96"/>
      <c r="AJ4" s="96"/>
      <c r="AK4" s="96"/>
      <c r="AN4" s="96"/>
      <c r="AO4" s="96"/>
      <c r="AR4" s="96"/>
      <c r="AS4" s="96"/>
      <c r="AV4" s="96"/>
      <c r="AW4" s="96"/>
      <c r="AZ4" s="96"/>
      <c r="BA4" s="96"/>
      <c r="BD4" s="96"/>
      <c r="BE4" s="96"/>
      <c r="BH4" s="96"/>
      <c r="BI4" s="96"/>
      <c r="BL4" s="95"/>
      <c r="BM4" s="95"/>
      <c r="BN4" s="95"/>
      <c r="BO4" s="95"/>
      <c r="BP4" s="95"/>
      <c r="BQ4" s="95"/>
      <c r="BR4" s="95"/>
    </row>
    <row r="5" spans="1:70" ht="13.5">
      <c r="A5" s="86" t="s">
        <v>55</v>
      </c>
      <c r="B5" s="98">
        <v>30</v>
      </c>
      <c r="G5" s="96"/>
      <c r="H5" s="96"/>
      <c r="I5" s="96"/>
      <c r="L5" s="96"/>
      <c r="M5" s="96"/>
      <c r="P5" s="96"/>
      <c r="Q5" s="96"/>
      <c r="T5" s="96"/>
      <c r="U5" s="96"/>
      <c r="X5" s="96"/>
      <c r="Y5" s="96"/>
      <c r="AB5" s="96"/>
      <c r="AC5" s="96"/>
      <c r="AF5" s="96"/>
      <c r="AG5" s="96"/>
      <c r="AJ5" s="96"/>
      <c r="AK5" s="96"/>
      <c r="AN5" s="96"/>
      <c r="AO5" s="96"/>
      <c r="AR5" s="96"/>
      <c r="AS5" s="96"/>
      <c r="AV5" s="96"/>
      <c r="AW5" s="96"/>
      <c r="AZ5" s="96"/>
      <c r="BA5" s="96"/>
      <c r="BD5" s="96"/>
      <c r="BE5" s="96"/>
      <c r="BH5" s="96"/>
      <c r="BI5" s="96"/>
      <c r="BL5" s="56"/>
      <c r="BM5" s="56"/>
      <c r="BN5" s="56"/>
      <c r="BO5" s="56"/>
      <c r="BP5" s="56"/>
      <c r="BQ5" s="56"/>
      <c r="BR5" s="56"/>
    </row>
    <row r="6" spans="64:70" ht="13.5" thickBot="1">
      <c r="BL6" s="56"/>
      <c r="BM6" s="56"/>
      <c r="BN6" s="56"/>
      <c r="BO6" s="56"/>
      <c r="BP6" s="56"/>
      <c r="BQ6" s="56"/>
      <c r="BR6" s="56"/>
    </row>
    <row r="7" spans="8:70" ht="13.5" thickBot="1">
      <c r="H7" s="359" t="s">
        <v>304</v>
      </c>
      <c r="I7" s="360"/>
      <c r="J7" s="360"/>
      <c r="K7" s="361"/>
      <c r="L7" s="374" t="s">
        <v>367</v>
      </c>
      <c r="M7" s="375"/>
      <c r="N7" s="375"/>
      <c r="O7" s="376"/>
      <c r="P7" s="374" t="s">
        <v>386</v>
      </c>
      <c r="Q7" s="375"/>
      <c r="R7" s="375"/>
      <c r="S7" s="376"/>
      <c r="T7" s="374" t="s">
        <v>387</v>
      </c>
      <c r="U7" s="375"/>
      <c r="V7" s="375"/>
      <c r="W7" s="376"/>
      <c r="X7" s="374" t="s">
        <v>388</v>
      </c>
      <c r="Y7" s="375"/>
      <c r="Z7" s="375"/>
      <c r="AA7" s="376"/>
      <c r="AB7" s="374" t="s">
        <v>389</v>
      </c>
      <c r="AC7" s="375"/>
      <c r="AD7" s="375"/>
      <c r="AE7" s="376"/>
      <c r="AF7" s="374" t="s">
        <v>390</v>
      </c>
      <c r="AG7" s="375"/>
      <c r="AH7" s="375"/>
      <c r="AI7" s="376"/>
      <c r="AJ7" s="374" t="s">
        <v>396</v>
      </c>
      <c r="AK7" s="375"/>
      <c r="AL7" s="375"/>
      <c r="AM7" s="376"/>
      <c r="AN7" s="374" t="s">
        <v>391</v>
      </c>
      <c r="AO7" s="375"/>
      <c r="AP7" s="375"/>
      <c r="AQ7" s="376"/>
      <c r="AR7" s="374" t="s">
        <v>391</v>
      </c>
      <c r="AS7" s="375"/>
      <c r="AT7" s="375"/>
      <c r="AU7" s="376"/>
      <c r="AV7" s="374" t="s">
        <v>391</v>
      </c>
      <c r="AW7" s="375"/>
      <c r="AX7" s="375"/>
      <c r="AY7" s="376"/>
      <c r="AZ7" s="374" t="s">
        <v>391</v>
      </c>
      <c r="BA7" s="375"/>
      <c r="BB7" s="375"/>
      <c r="BC7" s="376"/>
      <c r="BD7" s="374" t="s">
        <v>391</v>
      </c>
      <c r="BE7" s="375"/>
      <c r="BF7" s="375"/>
      <c r="BG7" s="376"/>
      <c r="BH7" s="374" t="s">
        <v>391</v>
      </c>
      <c r="BI7" s="375"/>
      <c r="BJ7" s="375"/>
      <c r="BK7" s="376"/>
      <c r="BL7" s="177"/>
      <c r="BM7" s="177"/>
      <c r="BN7" s="177"/>
      <c r="BO7" s="177"/>
      <c r="BP7" s="177"/>
      <c r="BQ7" s="177"/>
      <c r="BR7" s="177"/>
    </row>
    <row r="8" spans="1:70" ht="39" thickBot="1">
      <c r="A8" s="163" t="s">
        <v>21</v>
      </c>
      <c r="B8" s="22" t="s">
        <v>22</v>
      </c>
      <c r="C8" s="21" t="s">
        <v>0</v>
      </c>
      <c r="D8" s="164" t="s">
        <v>23</v>
      </c>
      <c r="E8" s="116" t="s">
        <v>24</v>
      </c>
      <c r="F8" s="165" t="s">
        <v>25</v>
      </c>
      <c r="G8" s="165" t="s">
        <v>145</v>
      </c>
      <c r="H8" s="116" t="s">
        <v>231</v>
      </c>
      <c r="I8" s="116" t="s">
        <v>232</v>
      </c>
      <c r="J8" s="117" t="s">
        <v>230</v>
      </c>
      <c r="K8" s="118" t="s">
        <v>146</v>
      </c>
      <c r="L8" s="116" t="s">
        <v>231</v>
      </c>
      <c r="M8" s="116" t="s">
        <v>232</v>
      </c>
      <c r="N8" s="117" t="s">
        <v>230</v>
      </c>
      <c r="O8" s="118" t="s">
        <v>146</v>
      </c>
      <c r="P8" s="116" t="s">
        <v>231</v>
      </c>
      <c r="Q8" s="116" t="s">
        <v>232</v>
      </c>
      <c r="R8" s="117" t="s">
        <v>230</v>
      </c>
      <c r="S8" s="118" t="s">
        <v>146</v>
      </c>
      <c r="T8" s="116" t="s">
        <v>231</v>
      </c>
      <c r="U8" s="116" t="s">
        <v>232</v>
      </c>
      <c r="V8" s="117" t="s">
        <v>230</v>
      </c>
      <c r="W8" s="118" t="s">
        <v>146</v>
      </c>
      <c r="X8" s="116" t="s">
        <v>231</v>
      </c>
      <c r="Y8" s="116" t="s">
        <v>232</v>
      </c>
      <c r="Z8" s="117" t="s">
        <v>230</v>
      </c>
      <c r="AA8" s="118" t="s">
        <v>146</v>
      </c>
      <c r="AB8" s="116" t="s">
        <v>231</v>
      </c>
      <c r="AC8" s="116" t="s">
        <v>232</v>
      </c>
      <c r="AD8" s="117" t="s">
        <v>230</v>
      </c>
      <c r="AE8" s="118" t="s">
        <v>146</v>
      </c>
      <c r="AF8" s="116" t="s">
        <v>231</v>
      </c>
      <c r="AG8" s="116" t="s">
        <v>232</v>
      </c>
      <c r="AH8" s="117" t="s">
        <v>230</v>
      </c>
      <c r="AI8" s="118" t="s">
        <v>146</v>
      </c>
      <c r="AJ8" s="116" t="s">
        <v>231</v>
      </c>
      <c r="AK8" s="116" t="s">
        <v>232</v>
      </c>
      <c r="AL8" s="117" t="s">
        <v>230</v>
      </c>
      <c r="AM8" s="118" t="s">
        <v>146</v>
      </c>
      <c r="AN8" s="116" t="s">
        <v>231</v>
      </c>
      <c r="AO8" s="116" t="s">
        <v>232</v>
      </c>
      <c r="AP8" s="117" t="s">
        <v>230</v>
      </c>
      <c r="AQ8" s="118" t="s">
        <v>146</v>
      </c>
      <c r="AR8" s="116" t="s">
        <v>231</v>
      </c>
      <c r="AS8" s="116" t="s">
        <v>232</v>
      </c>
      <c r="AT8" s="117" t="s">
        <v>230</v>
      </c>
      <c r="AU8" s="118" t="s">
        <v>146</v>
      </c>
      <c r="AV8" s="116" t="s">
        <v>231</v>
      </c>
      <c r="AW8" s="116" t="s">
        <v>232</v>
      </c>
      <c r="AX8" s="117" t="s">
        <v>230</v>
      </c>
      <c r="AY8" s="118" t="s">
        <v>146</v>
      </c>
      <c r="AZ8" s="116" t="s">
        <v>231</v>
      </c>
      <c r="BA8" s="116" t="s">
        <v>232</v>
      </c>
      <c r="BB8" s="117" t="s">
        <v>230</v>
      </c>
      <c r="BC8" s="118" t="s">
        <v>146</v>
      </c>
      <c r="BD8" s="116" t="s">
        <v>231</v>
      </c>
      <c r="BE8" s="116" t="s">
        <v>232</v>
      </c>
      <c r="BF8" s="117" t="s">
        <v>230</v>
      </c>
      <c r="BG8" s="118" t="s">
        <v>146</v>
      </c>
      <c r="BH8" s="116" t="s">
        <v>231</v>
      </c>
      <c r="BI8" s="116" t="s">
        <v>232</v>
      </c>
      <c r="BJ8" s="117" t="s">
        <v>230</v>
      </c>
      <c r="BK8" s="118" t="s">
        <v>146</v>
      </c>
      <c r="BL8" s="178"/>
      <c r="BM8" s="178"/>
      <c r="BN8" s="178"/>
      <c r="BO8" s="178"/>
      <c r="BP8" s="178"/>
      <c r="BQ8" s="178"/>
      <c r="BR8" s="178"/>
    </row>
    <row r="9" spans="1:70" ht="12.75">
      <c r="A9" s="110" t="s">
        <v>32</v>
      </c>
      <c r="B9" s="111"/>
      <c r="C9" s="112"/>
      <c r="D9" s="113"/>
      <c r="E9" s="114"/>
      <c r="F9" s="115">
        <f>SUM(F10:F29)</f>
        <v>7673710</v>
      </c>
      <c r="G9" s="115"/>
      <c r="H9" s="115"/>
      <c r="I9" s="115"/>
      <c r="J9" s="115">
        <f>SUM(J10:J29)</f>
        <v>0</v>
      </c>
      <c r="K9" s="187"/>
      <c r="L9" s="115"/>
      <c r="M9" s="115">
        <f>SUM(M10:M29)</f>
        <v>843610</v>
      </c>
      <c r="N9" s="115">
        <f>SUM(N10:N29)</f>
        <v>0</v>
      </c>
      <c r="O9" s="187"/>
      <c r="P9" s="115"/>
      <c r="Q9" s="115"/>
      <c r="R9" s="115">
        <f>SUM(R10:R29)</f>
        <v>550000</v>
      </c>
      <c r="S9" s="187"/>
      <c r="T9" s="115"/>
      <c r="U9" s="115"/>
      <c r="V9" s="115">
        <f>SUM(V10:V29)</f>
        <v>0</v>
      </c>
      <c r="W9" s="187"/>
      <c r="X9" s="115"/>
      <c r="Y9" s="115"/>
      <c r="Z9" s="115">
        <f>SUM(Z10:Z29)</f>
        <v>0</v>
      </c>
      <c r="AA9" s="187"/>
      <c r="AB9" s="115"/>
      <c r="AC9" s="115"/>
      <c r="AD9" s="115">
        <f>SUM(AD10:AD29)</f>
        <v>0</v>
      </c>
      <c r="AE9" s="187"/>
      <c r="AF9" s="115"/>
      <c r="AG9" s="115"/>
      <c r="AH9" s="115">
        <f>SUM(AH10:AH29)</f>
        <v>0</v>
      </c>
      <c r="AI9" s="187"/>
      <c r="AJ9" s="115"/>
      <c r="AK9" s="115"/>
      <c r="AL9" s="115">
        <f>SUM(AL10:AL29)</f>
        <v>0</v>
      </c>
      <c r="AM9" s="187"/>
      <c r="AN9" s="115"/>
      <c r="AO9" s="115"/>
      <c r="AP9" s="115">
        <f>SUM(AP10:AP29)</f>
        <v>0</v>
      </c>
      <c r="AQ9" s="187"/>
      <c r="AR9" s="115"/>
      <c r="AS9" s="115"/>
      <c r="AT9" s="115">
        <f>SUM(AT10:AT29)</f>
        <v>0</v>
      </c>
      <c r="AU9" s="187"/>
      <c r="AV9" s="115"/>
      <c r="AW9" s="115"/>
      <c r="AX9" s="115">
        <f>SUM(AX10:AX29)</f>
        <v>0</v>
      </c>
      <c r="AY9" s="187"/>
      <c r="AZ9" s="115"/>
      <c r="BA9" s="115"/>
      <c r="BB9" s="115">
        <f>SUM(BB10:BB29)</f>
        <v>0</v>
      </c>
      <c r="BC9" s="187"/>
      <c r="BD9" s="115"/>
      <c r="BE9" s="115"/>
      <c r="BF9" s="115">
        <f>SUM(BF10:BF29)</f>
        <v>0</v>
      </c>
      <c r="BG9" s="187"/>
      <c r="BH9" s="115"/>
      <c r="BI9" s="115"/>
      <c r="BJ9" s="115">
        <f>SUM(BJ10:BJ29)</f>
        <v>0</v>
      </c>
      <c r="BK9" s="187"/>
      <c r="BL9" s="179"/>
      <c r="BM9" s="179"/>
      <c r="BN9" s="179"/>
      <c r="BO9" s="179"/>
      <c r="BP9" s="179"/>
      <c r="BQ9" s="179"/>
      <c r="BR9" s="179"/>
    </row>
    <row r="10" spans="1:71" ht="12.75">
      <c r="A10" s="100" t="s">
        <v>36</v>
      </c>
      <c r="B10" s="19">
        <f>B1*B5/1000</f>
        <v>3900</v>
      </c>
      <c r="C10" s="20" t="s">
        <v>65</v>
      </c>
      <c r="D10" s="59">
        <f>5*30</f>
        <v>150</v>
      </c>
      <c r="E10" s="28">
        <v>6.3</v>
      </c>
      <c r="F10" s="60">
        <f>E10*D10*B10</f>
        <v>3685500</v>
      </c>
      <c r="G10" s="108"/>
      <c r="H10" s="97"/>
      <c r="I10" s="97"/>
      <c r="J10" s="188"/>
      <c r="K10" s="188"/>
      <c r="L10" s="97" t="s">
        <v>368</v>
      </c>
      <c r="M10" s="217">
        <v>737100</v>
      </c>
      <c r="N10" s="97"/>
      <c r="O10" s="97"/>
      <c r="P10" s="97"/>
      <c r="Q10" s="97"/>
      <c r="R10" s="188"/>
      <c r="S10" s="188"/>
      <c r="T10" s="97"/>
      <c r="U10" s="97"/>
      <c r="V10" s="188"/>
      <c r="W10" s="188"/>
      <c r="X10" s="97"/>
      <c r="Y10" s="97"/>
      <c r="Z10" s="188"/>
      <c r="AA10" s="188"/>
      <c r="AB10" s="97"/>
      <c r="AC10" s="97"/>
      <c r="AD10" s="188"/>
      <c r="AE10" s="188"/>
      <c r="AF10" s="97"/>
      <c r="AG10" s="97"/>
      <c r="AH10" s="188"/>
      <c r="AI10" s="188"/>
      <c r="AJ10" s="97"/>
      <c r="AK10" s="97"/>
      <c r="AL10" s="188"/>
      <c r="AM10" s="188"/>
      <c r="AN10" s="97"/>
      <c r="AO10" s="97"/>
      <c r="AP10" s="188"/>
      <c r="AQ10" s="188"/>
      <c r="AR10" s="97"/>
      <c r="AS10" s="97"/>
      <c r="AT10" s="188"/>
      <c r="AU10" s="188"/>
      <c r="AV10" s="97"/>
      <c r="AW10" s="97"/>
      <c r="AX10" s="188"/>
      <c r="AY10" s="188"/>
      <c r="AZ10" s="97"/>
      <c r="BA10" s="97"/>
      <c r="BB10" s="188"/>
      <c r="BC10" s="188"/>
      <c r="BD10" s="97"/>
      <c r="BE10" s="97"/>
      <c r="BF10" s="188"/>
      <c r="BG10" s="188"/>
      <c r="BH10" s="97"/>
      <c r="BI10" s="97"/>
      <c r="BJ10" s="188"/>
      <c r="BK10" s="188"/>
      <c r="BL10" s="180"/>
      <c r="BM10" s="180"/>
      <c r="BN10" s="180"/>
      <c r="BO10" s="180"/>
      <c r="BP10" s="180"/>
      <c r="BQ10" s="180"/>
      <c r="BR10" s="180"/>
      <c r="BS10" s="55" t="s">
        <v>300</v>
      </c>
    </row>
    <row r="11" spans="1:71" ht="25.5">
      <c r="A11" s="101" t="s">
        <v>128</v>
      </c>
      <c r="B11" s="19">
        <f>B1*B5/1000</f>
        <v>3900</v>
      </c>
      <c r="C11" s="20" t="s">
        <v>65</v>
      </c>
      <c r="D11" s="59">
        <f>1*30</f>
        <v>30</v>
      </c>
      <c r="E11" s="28">
        <v>1.5</v>
      </c>
      <c r="F11" s="60">
        <f aca="true" t="shared" si="0" ref="F11:F29">E11*D11*B11</f>
        <v>175500</v>
      </c>
      <c r="G11" s="61" t="s">
        <v>131</v>
      </c>
      <c r="H11" s="97"/>
      <c r="I11" s="97"/>
      <c r="J11" s="188"/>
      <c r="K11" s="188"/>
      <c r="L11" s="97" t="s">
        <v>369</v>
      </c>
      <c r="M11" s="217">
        <v>35100</v>
      </c>
      <c r="N11" s="97"/>
      <c r="O11" s="97"/>
      <c r="P11" s="97"/>
      <c r="Q11" s="97"/>
      <c r="R11" s="188"/>
      <c r="S11" s="188"/>
      <c r="T11" s="97"/>
      <c r="U11" s="97"/>
      <c r="V11" s="188"/>
      <c r="W11" s="188"/>
      <c r="X11" s="97"/>
      <c r="Y11" s="97"/>
      <c r="Z11" s="188"/>
      <c r="AA11" s="188"/>
      <c r="AB11" s="97"/>
      <c r="AC11" s="97"/>
      <c r="AD11" s="188"/>
      <c r="AE11" s="188"/>
      <c r="AF11" s="97"/>
      <c r="AG11" s="97"/>
      <c r="AH11" s="188"/>
      <c r="AI11" s="188"/>
      <c r="AJ11" s="97"/>
      <c r="AK11" s="97"/>
      <c r="AL11" s="188"/>
      <c r="AM11" s="188"/>
      <c r="AN11" s="97"/>
      <c r="AO11" s="97"/>
      <c r="AP11" s="188"/>
      <c r="AQ11" s="188"/>
      <c r="AR11" s="97"/>
      <c r="AS11" s="97"/>
      <c r="AT11" s="188"/>
      <c r="AU11" s="188"/>
      <c r="AV11" s="97"/>
      <c r="AW11" s="97"/>
      <c r="AX11" s="188"/>
      <c r="AY11" s="188"/>
      <c r="AZ11" s="97"/>
      <c r="BA11" s="97"/>
      <c r="BB11" s="188"/>
      <c r="BC11" s="188"/>
      <c r="BD11" s="97"/>
      <c r="BE11" s="97"/>
      <c r="BF11" s="188"/>
      <c r="BG11" s="188"/>
      <c r="BH11" s="97"/>
      <c r="BI11" s="97"/>
      <c r="BJ11" s="188"/>
      <c r="BK11" s="188"/>
      <c r="BL11" s="180"/>
      <c r="BM11" s="180"/>
      <c r="BN11" s="180"/>
      <c r="BO11" s="180"/>
      <c r="BP11" s="180"/>
      <c r="BQ11" s="180"/>
      <c r="BR11" s="180"/>
      <c r="BS11" s="55" t="s">
        <v>300</v>
      </c>
    </row>
    <row r="12" spans="1:72" ht="25.5">
      <c r="A12" s="101" t="s">
        <v>129</v>
      </c>
      <c r="B12" s="19">
        <v>20</v>
      </c>
      <c r="C12" s="20" t="s">
        <v>66</v>
      </c>
      <c r="D12" s="59">
        <v>1</v>
      </c>
      <c r="E12" s="28">
        <v>2000</v>
      </c>
      <c r="F12" s="60">
        <f t="shared" si="0"/>
        <v>40000</v>
      </c>
      <c r="G12" s="61" t="s">
        <v>229</v>
      </c>
      <c r="H12" s="97"/>
      <c r="I12" s="97"/>
      <c r="J12" s="188"/>
      <c r="K12" s="188"/>
      <c r="L12" s="97" t="s">
        <v>369</v>
      </c>
      <c r="M12" s="217">
        <v>8000</v>
      </c>
      <c r="N12" s="97"/>
      <c r="O12" s="97"/>
      <c r="P12" s="97"/>
      <c r="Q12" s="97"/>
      <c r="R12" s="188"/>
      <c r="S12" s="188"/>
      <c r="T12" s="97"/>
      <c r="U12" s="97"/>
      <c r="V12" s="188"/>
      <c r="W12" s="188"/>
      <c r="X12" s="97"/>
      <c r="Y12" s="97"/>
      <c r="Z12" s="188"/>
      <c r="AA12" s="188"/>
      <c r="AB12" s="97"/>
      <c r="AC12" s="97"/>
      <c r="AD12" s="188"/>
      <c r="AE12" s="188"/>
      <c r="AF12" s="97"/>
      <c r="AG12" s="97"/>
      <c r="AH12" s="188"/>
      <c r="AI12" s="188"/>
      <c r="AJ12" s="97"/>
      <c r="AK12" s="97"/>
      <c r="AL12" s="188"/>
      <c r="AM12" s="188"/>
      <c r="AN12" s="97"/>
      <c r="AO12" s="97"/>
      <c r="AP12" s="188"/>
      <c r="AQ12" s="188"/>
      <c r="AR12" s="97"/>
      <c r="AS12" s="97"/>
      <c r="AT12" s="188"/>
      <c r="AU12" s="188"/>
      <c r="AV12" s="97"/>
      <c r="AW12" s="97"/>
      <c r="AX12" s="188"/>
      <c r="AY12" s="188"/>
      <c r="AZ12" s="97"/>
      <c r="BA12" s="97"/>
      <c r="BB12" s="188"/>
      <c r="BC12" s="188"/>
      <c r="BD12" s="97"/>
      <c r="BE12" s="97"/>
      <c r="BF12" s="188"/>
      <c r="BG12" s="188"/>
      <c r="BH12" s="97"/>
      <c r="BI12" s="97"/>
      <c r="BJ12" s="188"/>
      <c r="BK12" s="188"/>
      <c r="BL12" s="180"/>
      <c r="BM12" s="180"/>
      <c r="BN12" s="180"/>
      <c r="BO12" s="180"/>
      <c r="BP12" s="180"/>
      <c r="BQ12" s="180"/>
      <c r="BR12" s="180"/>
      <c r="BT12" s="55" t="s">
        <v>300</v>
      </c>
    </row>
    <row r="13" spans="1:72" ht="25.5">
      <c r="A13" s="101" t="s">
        <v>54</v>
      </c>
      <c r="B13" s="19">
        <v>2</v>
      </c>
      <c r="C13" s="20" t="s">
        <v>66</v>
      </c>
      <c r="D13" s="59">
        <v>1</v>
      </c>
      <c r="E13" s="39">
        <v>400000</v>
      </c>
      <c r="F13" s="60">
        <f t="shared" si="0"/>
        <v>800000</v>
      </c>
      <c r="G13" s="61" t="s">
        <v>222</v>
      </c>
      <c r="H13" s="97"/>
      <c r="I13" s="97"/>
      <c r="J13" s="188"/>
      <c r="K13" s="188"/>
      <c r="L13" s="97"/>
      <c r="M13" s="97"/>
      <c r="N13" s="188"/>
      <c r="O13" s="188"/>
      <c r="P13" s="97">
        <v>2</v>
      </c>
      <c r="Q13" s="97">
        <v>350000</v>
      </c>
      <c r="R13" s="188">
        <v>550000</v>
      </c>
      <c r="S13" s="188" t="s">
        <v>401</v>
      </c>
      <c r="T13" s="97"/>
      <c r="U13" s="97"/>
      <c r="V13" s="188"/>
      <c r="W13" s="188"/>
      <c r="X13" s="97"/>
      <c r="Y13" s="97"/>
      <c r="Z13" s="188"/>
      <c r="AA13" s="188"/>
      <c r="AB13" s="97"/>
      <c r="AC13" s="97"/>
      <c r="AD13" s="188"/>
      <c r="AE13" s="188"/>
      <c r="AF13" s="97"/>
      <c r="AG13" s="97"/>
      <c r="AH13" s="188"/>
      <c r="AI13" s="188"/>
      <c r="AJ13" s="97"/>
      <c r="AK13" s="97"/>
      <c r="AL13" s="188"/>
      <c r="AM13" s="188"/>
      <c r="AN13" s="97"/>
      <c r="AO13" s="97"/>
      <c r="AP13" s="188"/>
      <c r="AQ13" s="188"/>
      <c r="AR13" s="97"/>
      <c r="AS13" s="97"/>
      <c r="AT13" s="188"/>
      <c r="AU13" s="188"/>
      <c r="AV13" s="97"/>
      <c r="AW13" s="97"/>
      <c r="AX13" s="188"/>
      <c r="AY13" s="188"/>
      <c r="AZ13" s="97"/>
      <c r="BA13" s="97"/>
      <c r="BB13" s="188"/>
      <c r="BC13" s="188"/>
      <c r="BD13" s="97"/>
      <c r="BE13" s="97"/>
      <c r="BF13" s="188"/>
      <c r="BG13" s="188"/>
      <c r="BH13" s="97"/>
      <c r="BI13" s="97"/>
      <c r="BJ13" s="188"/>
      <c r="BK13" s="188"/>
      <c r="BL13" s="180"/>
      <c r="BM13" s="180"/>
      <c r="BN13" s="180"/>
      <c r="BO13" s="180"/>
      <c r="BP13" s="180"/>
      <c r="BQ13" s="180"/>
      <c r="BR13" s="180"/>
      <c r="BT13" s="55" t="s">
        <v>300</v>
      </c>
    </row>
    <row r="14" spans="1:72" ht="12.75">
      <c r="A14" s="101" t="s">
        <v>121</v>
      </c>
      <c r="B14" s="19">
        <v>2</v>
      </c>
      <c r="C14" s="20" t="s">
        <v>66</v>
      </c>
      <c r="D14" s="59">
        <v>1</v>
      </c>
      <c r="E14" s="39">
        <v>350000</v>
      </c>
      <c r="F14" s="60">
        <f>E14*D14*B14</f>
        <v>700000</v>
      </c>
      <c r="G14" s="61"/>
      <c r="H14" s="97"/>
      <c r="I14" s="97"/>
      <c r="J14" s="188"/>
      <c r="K14" s="188"/>
      <c r="L14" s="97"/>
      <c r="M14" s="97"/>
      <c r="N14" s="188"/>
      <c r="O14" s="188"/>
      <c r="P14" s="97"/>
      <c r="Q14" s="97"/>
      <c r="R14" s="188"/>
      <c r="S14" s="188"/>
      <c r="T14" s="97"/>
      <c r="U14" s="97"/>
      <c r="V14" s="188"/>
      <c r="W14" s="188"/>
      <c r="X14" s="97"/>
      <c r="Y14" s="97"/>
      <c r="Z14" s="188"/>
      <c r="AA14" s="188"/>
      <c r="AB14" s="97"/>
      <c r="AC14" s="97"/>
      <c r="AD14" s="188"/>
      <c r="AE14" s="188"/>
      <c r="AF14" s="97"/>
      <c r="AG14" s="97"/>
      <c r="AH14" s="188"/>
      <c r="AI14" s="188"/>
      <c r="AJ14" s="97"/>
      <c r="AK14" s="97"/>
      <c r="AL14" s="188"/>
      <c r="AM14" s="188"/>
      <c r="AN14" s="97"/>
      <c r="AO14" s="97"/>
      <c r="AP14" s="188"/>
      <c r="AQ14" s="188"/>
      <c r="AR14" s="97"/>
      <c r="AS14" s="97"/>
      <c r="AT14" s="188"/>
      <c r="AU14" s="188"/>
      <c r="AV14" s="97"/>
      <c r="AW14" s="97"/>
      <c r="AX14" s="188"/>
      <c r="AY14" s="188"/>
      <c r="AZ14" s="97"/>
      <c r="BA14" s="97"/>
      <c r="BB14" s="188"/>
      <c r="BC14" s="188"/>
      <c r="BD14" s="97"/>
      <c r="BE14" s="97"/>
      <c r="BF14" s="188"/>
      <c r="BG14" s="188"/>
      <c r="BH14" s="97"/>
      <c r="BI14" s="97"/>
      <c r="BJ14" s="188"/>
      <c r="BK14" s="188"/>
      <c r="BL14" s="180"/>
      <c r="BM14" s="180"/>
      <c r="BN14" s="180"/>
      <c r="BO14" s="180"/>
      <c r="BP14" s="180"/>
      <c r="BQ14" s="180"/>
      <c r="BR14" s="180"/>
      <c r="BT14" s="55" t="s">
        <v>300</v>
      </c>
    </row>
    <row r="15" spans="1:72" ht="25.5">
      <c r="A15" s="101" t="s">
        <v>208</v>
      </c>
      <c r="B15" s="19">
        <v>6</v>
      </c>
      <c r="C15" s="20" t="s">
        <v>130</v>
      </c>
      <c r="D15" s="59">
        <v>1</v>
      </c>
      <c r="E15" s="39">
        <v>100000</v>
      </c>
      <c r="F15" s="60">
        <f>E15*D15*B15</f>
        <v>600000</v>
      </c>
      <c r="G15" s="61" t="s">
        <v>132</v>
      </c>
      <c r="H15" s="97"/>
      <c r="I15" s="97"/>
      <c r="J15" s="188"/>
      <c r="K15" s="188"/>
      <c r="L15" s="97"/>
      <c r="M15" s="97"/>
      <c r="N15" s="188"/>
      <c r="O15" s="188"/>
      <c r="P15" s="97"/>
      <c r="Q15" s="97"/>
      <c r="R15" s="188"/>
      <c r="S15" s="188"/>
      <c r="T15" s="97"/>
      <c r="U15" s="97"/>
      <c r="V15" s="188"/>
      <c r="W15" s="188"/>
      <c r="X15" s="97"/>
      <c r="Y15" s="97"/>
      <c r="Z15" s="188"/>
      <c r="AA15" s="188"/>
      <c r="AB15" s="97"/>
      <c r="AC15" s="97"/>
      <c r="AD15" s="188"/>
      <c r="AE15" s="188"/>
      <c r="AF15" s="97"/>
      <c r="AG15" s="97"/>
      <c r="AH15" s="188"/>
      <c r="AI15" s="188"/>
      <c r="AJ15" s="97"/>
      <c r="AK15" s="97"/>
      <c r="AL15" s="188"/>
      <c r="AM15" s="188"/>
      <c r="AN15" s="97"/>
      <c r="AO15" s="97"/>
      <c r="AP15" s="188"/>
      <c r="AQ15" s="188"/>
      <c r="AR15" s="97"/>
      <c r="AS15" s="97"/>
      <c r="AT15" s="188"/>
      <c r="AU15" s="188"/>
      <c r="AV15" s="97"/>
      <c r="AW15" s="97"/>
      <c r="AX15" s="188"/>
      <c r="AY15" s="188"/>
      <c r="AZ15" s="97"/>
      <c r="BA15" s="97"/>
      <c r="BB15" s="188"/>
      <c r="BC15" s="188"/>
      <c r="BD15" s="97"/>
      <c r="BE15" s="97"/>
      <c r="BF15" s="188"/>
      <c r="BG15" s="188"/>
      <c r="BH15" s="97"/>
      <c r="BI15" s="97"/>
      <c r="BJ15" s="188"/>
      <c r="BK15" s="188"/>
      <c r="BL15" s="180"/>
      <c r="BM15" s="180"/>
      <c r="BN15" s="180"/>
      <c r="BO15" s="180"/>
      <c r="BP15" s="180"/>
      <c r="BQ15" s="180"/>
      <c r="BR15" s="180"/>
      <c r="BT15" s="55" t="s">
        <v>300</v>
      </c>
    </row>
    <row r="16" spans="1:72" ht="12.75">
      <c r="A16" s="62" t="s">
        <v>35</v>
      </c>
      <c r="B16" s="8">
        <v>2</v>
      </c>
      <c r="C16" s="9" t="s">
        <v>66</v>
      </c>
      <c r="D16" s="64">
        <v>1</v>
      </c>
      <c r="E16" s="38">
        <v>150000</v>
      </c>
      <c r="F16" s="63">
        <f t="shared" si="0"/>
        <v>300000</v>
      </c>
      <c r="G16" s="61"/>
      <c r="H16" s="97"/>
      <c r="I16" s="97"/>
      <c r="J16" s="188"/>
      <c r="K16" s="188"/>
      <c r="L16" s="97"/>
      <c r="M16" s="97"/>
      <c r="N16" s="188"/>
      <c r="O16" s="188"/>
      <c r="P16" s="97"/>
      <c r="Q16" s="97"/>
      <c r="R16" s="188"/>
      <c r="S16" s="188"/>
      <c r="T16" s="97"/>
      <c r="U16" s="97"/>
      <c r="V16" s="188"/>
      <c r="W16" s="188"/>
      <c r="X16" s="97"/>
      <c r="Y16" s="97"/>
      <c r="Z16" s="188"/>
      <c r="AA16" s="188"/>
      <c r="AB16" s="97"/>
      <c r="AC16" s="97"/>
      <c r="AD16" s="188"/>
      <c r="AE16" s="188"/>
      <c r="AF16" s="97"/>
      <c r="AG16" s="97"/>
      <c r="AH16" s="188"/>
      <c r="AI16" s="188"/>
      <c r="AJ16" s="97"/>
      <c r="AK16" s="97"/>
      <c r="AL16" s="188"/>
      <c r="AM16" s="188"/>
      <c r="AN16" s="97"/>
      <c r="AO16" s="97"/>
      <c r="AP16" s="188"/>
      <c r="AQ16" s="188"/>
      <c r="AR16" s="97"/>
      <c r="AS16" s="97"/>
      <c r="AT16" s="188"/>
      <c r="AU16" s="188"/>
      <c r="AV16" s="97"/>
      <c r="AW16" s="97"/>
      <c r="AX16" s="188"/>
      <c r="AY16" s="188"/>
      <c r="AZ16" s="97"/>
      <c r="BA16" s="97"/>
      <c r="BB16" s="188"/>
      <c r="BC16" s="188"/>
      <c r="BD16" s="97"/>
      <c r="BE16" s="97"/>
      <c r="BF16" s="188"/>
      <c r="BG16" s="188"/>
      <c r="BH16" s="97"/>
      <c r="BI16" s="97"/>
      <c r="BJ16" s="188"/>
      <c r="BK16" s="188"/>
      <c r="BL16" s="180"/>
      <c r="BM16" s="180"/>
      <c r="BN16" s="180"/>
      <c r="BO16" s="180"/>
      <c r="BP16" s="180"/>
      <c r="BQ16" s="180"/>
      <c r="BR16" s="180"/>
      <c r="BT16" s="55" t="s">
        <v>300</v>
      </c>
    </row>
    <row r="17" spans="1:71" ht="25.5">
      <c r="A17" s="101" t="s">
        <v>34</v>
      </c>
      <c r="B17" s="8">
        <f>B1*B5/1000</f>
        <v>3900</v>
      </c>
      <c r="C17" s="9" t="s">
        <v>65</v>
      </c>
      <c r="D17" s="64">
        <f>30*1</f>
        <v>30</v>
      </c>
      <c r="E17" s="38">
        <v>1</v>
      </c>
      <c r="F17" s="63">
        <f t="shared" si="0"/>
        <v>117000</v>
      </c>
      <c r="G17" s="61" t="s">
        <v>215</v>
      </c>
      <c r="H17" s="97"/>
      <c r="I17" s="97"/>
      <c r="J17" s="188"/>
      <c r="K17" s="188"/>
      <c r="L17" s="97"/>
      <c r="M17" s="97"/>
      <c r="N17" s="188"/>
      <c r="O17" s="188"/>
      <c r="P17" s="97"/>
      <c r="Q17" s="97"/>
      <c r="R17" s="188"/>
      <c r="S17" s="188"/>
      <c r="T17" s="97"/>
      <c r="U17" s="97"/>
      <c r="V17" s="188"/>
      <c r="W17" s="188"/>
      <c r="X17" s="97"/>
      <c r="Y17" s="97"/>
      <c r="Z17" s="188"/>
      <c r="AA17" s="188"/>
      <c r="AB17" s="97"/>
      <c r="AC17" s="97"/>
      <c r="AD17" s="188"/>
      <c r="AE17" s="188"/>
      <c r="AF17" s="97"/>
      <c r="AG17" s="97"/>
      <c r="AH17" s="188"/>
      <c r="AI17" s="188"/>
      <c r="AJ17" s="97"/>
      <c r="AK17" s="97"/>
      <c r="AL17" s="188"/>
      <c r="AM17" s="188"/>
      <c r="AN17" s="97"/>
      <c r="AO17" s="97"/>
      <c r="AP17" s="188"/>
      <c r="AQ17" s="188"/>
      <c r="AR17" s="97"/>
      <c r="AS17" s="97"/>
      <c r="AT17" s="188"/>
      <c r="AU17" s="188"/>
      <c r="AV17" s="97"/>
      <c r="AW17" s="97"/>
      <c r="AX17" s="188"/>
      <c r="AY17" s="188"/>
      <c r="AZ17" s="97"/>
      <c r="BA17" s="97"/>
      <c r="BB17" s="188"/>
      <c r="BC17" s="188"/>
      <c r="BD17" s="97"/>
      <c r="BE17" s="97"/>
      <c r="BF17" s="188"/>
      <c r="BG17" s="188"/>
      <c r="BH17" s="97"/>
      <c r="BI17" s="97"/>
      <c r="BJ17" s="188"/>
      <c r="BK17" s="188"/>
      <c r="BL17" s="180"/>
      <c r="BM17" s="180"/>
      <c r="BN17" s="180"/>
      <c r="BO17" s="180"/>
      <c r="BP17" s="180"/>
      <c r="BQ17" s="180"/>
      <c r="BR17" s="180"/>
      <c r="BS17" s="55" t="s">
        <v>300</v>
      </c>
    </row>
    <row r="18" spans="1:72" ht="39.75" customHeight="1">
      <c r="A18" s="101" t="s">
        <v>57</v>
      </c>
      <c r="B18" s="8">
        <v>5</v>
      </c>
      <c r="C18" s="9" t="s">
        <v>209</v>
      </c>
      <c r="D18" s="65">
        <v>1</v>
      </c>
      <c r="E18" s="38">
        <v>50000</v>
      </c>
      <c r="F18" s="66">
        <f t="shared" si="0"/>
        <v>250000</v>
      </c>
      <c r="G18" s="61" t="s">
        <v>405</v>
      </c>
      <c r="H18" s="97"/>
      <c r="I18" s="97"/>
      <c r="J18" s="188"/>
      <c r="K18" s="188"/>
      <c r="L18" s="97"/>
      <c r="M18" s="97"/>
      <c r="N18" s="188"/>
      <c r="O18" s="188"/>
      <c r="P18" s="97"/>
      <c r="Q18" s="97"/>
      <c r="R18" s="188"/>
      <c r="S18" s="188"/>
      <c r="T18" s="97"/>
      <c r="U18" s="97"/>
      <c r="V18" s="188"/>
      <c r="W18" s="188"/>
      <c r="X18" s="97"/>
      <c r="Y18" s="97"/>
      <c r="Z18" s="188"/>
      <c r="AA18" s="188"/>
      <c r="AB18" s="97"/>
      <c r="AC18" s="97"/>
      <c r="AD18" s="188"/>
      <c r="AE18" s="188"/>
      <c r="AF18" s="97"/>
      <c r="AG18" s="97"/>
      <c r="AH18" s="188"/>
      <c r="AI18" s="188"/>
      <c r="AJ18" s="97"/>
      <c r="AK18" s="97"/>
      <c r="AL18" s="188"/>
      <c r="AM18" s="188"/>
      <c r="AN18" s="97"/>
      <c r="AO18" s="97"/>
      <c r="AP18" s="188"/>
      <c r="AQ18" s="188"/>
      <c r="AR18" s="97"/>
      <c r="AS18" s="97"/>
      <c r="AT18" s="188"/>
      <c r="AU18" s="188"/>
      <c r="AV18" s="97"/>
      <c r="AW18" s="97"/>
      <c r="AX18" s="188"/>
      <c r="AY18" s="188"/>
      <c r="AZ18" s="97"/>
      <c r="BA18" s="97"/>
      <c r="BB18" s="188"/>
      <c r="BC18" s="188"/>
      <c r="BD18" s="97"/>
      <c r="BE18" s="97"/>
      <c r="BF18" s="188"/>
      <c r="BG18" s="188"/>
      <c r="BH18" s="97"/>
      <c r="BI18" s="97"/>
      <c r="BJ18" s="188"/>
      <c r="BK18" s="188"/>
      <c r="BL18" s="180"/>
      <c r="BM18" s="180"/>
      <c r="BN18" s="180"/>
      <c r="BO18" s="180"/>
      <c r="BP18" s="180"/>
      <c r="BQ18" s="180"/>
      <c r="BR18" s="180"/>
      <c r="BT18" s="55" t="s">
        <v>300</v>
      </c>
    </row>
    <row r="19" spans="1:72" ht="29.25" customHeight="1">
      <c r="A19" s="11" t="s">
        <v>198</v>
      </c>
      <c r="B19" s="8">
        <f>B1</f>
        <v>130000</v>
      </c>
      <c r="C19" s="9" t="s">
        <v>409</v>
      </c>
      <c r="D19" s="65">
        <v>1</v>
      </c>
      <c r="E19" s="38">
        <v>5.71</v>
      </c>
      <c r="F19" s="66">
        <f t="shared" si="0"/>
        <v>742300</v>
      </c>
      <c r="G19" s="61" t="s">
        <v>408</v>
      </c>
      <c r="H19" s="97"/>
      <c r="I19" s="97"/>
      <c r="J19" s="188"/>
      <c r="K19" s="188"/>
      <c r="L19" s="97"/>
      <c r="M19" s="97"/>
      <c r="N19" s="188"/>
      <c r="O19" s="188"/>
      <c r="P19" s="97"/>
      <c r="Q19" s="97"/>
      <c r="R19" s="188"/>
      <c r="S19" s="188"/>
      <c r="T19" s="97"/>
      <c r="U19" s="97"/>
      <c r="V19" s="188"/>
      <c r="W19" s="188"/>
      <c r="X19" s="97"/>
      <c r="Y19" s="97"/>
      <c r="Z19" s="188"/>
      <c r="AA19" s="188"/>
      <c r="AB19" s="97"/>
      <c r="AC19" s="97"/>
      <c r="AD19" s="188"/>
      <c r="AE19" s="188"/>
      <c r="AF19" s="97"/>
      <c r="AG19" s="97"/>
      <c r="AH19" s="188"/>
      <c r="AI19" s="188"/>
      <c r="AJ19" s="97"/>
      <c r="AK19" s="97"/>
      <c r="AL19" s="188"/>
      <c r="AM19" s="188"/>
      <c r="AN19" s="97"/>
      <c r="AO19" s="97"/>
      <c r="AP19" s="188"/>
      <c r="AQ19" s="188"/>
      <c r="AR19" s="97"/>
      <c r="AS19" s="97"/>
      <c r="AT19" s="188"/>
      <c r="AU19" s="188"/>
      <c r="AV19" s="97"/>
      <c r="AW19" s="97"/>
      <c r="AX19" s="188"/>
      <c r="AY19" s="188"/>
      <c r="AZ19" s="97"/>
      <c r="BA19" s="97"/>
      <c r="BB19" s="188"/>
      <c r="BC19" s="188"/>
      <c r="BD19" s="97"/>
      <c r="BE19" s="97"/>
      <c r="BF19" s="188"/>
      <c r="BG19" s="188"/>
      <c r="BH19" s="97"/>
      <c r="BI19" s="97"/>
      <c r="BJ19" s="188"/>
      <c r="BK19" s="188"/>
      <c r="BL19" s="180"/>
      <c r="BM19" s="180"/>
      <c r="BN19" s="180"/>
      <c r="BO19" s="180"/>
      <c r="BP19" s="180"/>
      <c r="BQ19" s="180"/>
      <c r="BR19" s="180"/>
      <c r="BT19" s="55" t="s">
        <v>300</v>
      </c>
    </row>
    <row r="20" spans="1:72" ht="29.25" customHeight="1">
      <c r="A20" s="11" t="s">
        <v>199</v>
      </c>
      <c r="B20" s="8">
        <v>5</v>
      </c>
      <c r="C20" s="9" t="s">
        <v>209</v>
      </c>
      <c r="D20" s="65">
        <v>1</v>
      </c>
      <c r="E20" s="38">
        <v>40000</v>
      </c>
      <c r="F20" s="66">
        <f t="shared" si="0"/>
        <v>200000</v>
      </c>
      <c r="G20" s="61" t="s">
        <v>406</v>
      </c>
      <c r="H20" s="97"/>
      <c r="I20" s="97"/>
      <c r="J20" s="188"/>
      <c r="K20" s="188"/>
      <c r="L20" s="97"/>
      <c r="M20" s="97"/>
      <c r="N20" s="188"/>
      <c r="O20" s="188"/>
      <c r="P20" s="97"/>
      <c r="Q20" s="97"/>
      <c r="R20" s="188"/>
      <c r="S20" s="188"/>
      <c r="T20" s="97"/>
      <c r="U20" s="97"/>
      <c r="V20" s="188"/>
      <c r="W20" s="188"/>
      <c r="X20" s="97"/>
      <c r="Y20" s="97"/>
      <c r="Z20" s="188"/>
      <c r="AA20" s="188"/>
      <c r="AB20" s="97"/>
      <c r="AC20" s="97"/>
      <c r="AD20" s="188"/>
      <c r="AE20" s="188"/>
      <c r="AF20" s="97"/>
      <c r="AG20" s="97"/>
      <c r="AH20" s="188"/>
      <c r="AI20" s="188"/>
      <c r="AJ20" s="97"/>
      <c r="AK20" s="97"/>
      <c r="AL20" s="188"/>
      <c r="AM20" s="188"/>
      <c r="AN20" s="97"/>
      <c r="AO20" s="97"/>
      <c r="AP20" s="188"/>
      <c r="AQ20" s="188"/>
      <c r="AR20" s="97"/>
      <c r="AS20" s="97"/>
      <c r="AT20" s="188"/>
      <c r="AU20" s="188"/>
      <c r="AV20" s="97"/>
      <c r="AW20" s="97"/>
      <c r="AX20" s="188"/>
      <c r="AY20" s="188"/>
      <c r="AZ20" s="97"/>
      <c r="BA20" s="97"/>
      <c r="BB20" s="188"/>
      <c r="BC20" s="188"/>
      <c r="BD20" s="97"/>
      <c r="BE20" s="97"/>
      <c r="BF20" s="188"/>
      <c r="BG20" s="188"/>
      <c r="BH20" s="97"/>
      <c r="BI20" s="97"/>
      <c r="BJ20" s="188"/>
      <c r="BK20" s="188"/>
      <c r="BL20" s="180"/>
      <c r="BM20" s="180"/>
      <c r="BN20" s="180"/>
      <c r="BO20" s="180"/>
      <c r="BP20" s="180"/>
      <c r="BQ20" s="180"/>
      <c r="BR20" s="180"/>
      <c r="BT20" s="55" t="s">
        <v>300</v>
      </c>
    </row>
    <row r="21" spans="1:72" ht="12.75">
      <c r="A21" s="11" t="s">
        <v>3</v>
      </c>
      <c r="B21" s="8">
        <v>100</v>
      </c>
      <c r="C21" s="9" t="s">
        <v>0</v>
      </c>
      <c r="D21" s="64">
        <v>1</v>
      </c>
      <c r="E21" s="29">
        <v>30</v>
      </c>
      <c r="F21" s="66">
        <f t="shared" si="0"/>
        <v>3000</v>
      </c>
      <c r="G21" s="61"/>
      <c r="H21" s="97"/>
      <c r="I21" s="97"/>
      <c r="J21" s="188"/>
      <c r="K21" s="188"/>
      <c r="L21" s="97" t="s">
        <v>368</v>
      </c>
      <c r="M21" s="217">
        <v>3000</v>
      </c>
      <c r="N21" s="97"/>
      <c r="O21" s="97"/>
      <c r="P21" s="97"/>
      <c r="Q21" s="97"/>
      <c r="R21" s="188"/>
      <c r="S21" s="188"/>
      <c r="T21" s="97"/>
      <c r="U21" s="97"/>
      <c r="V21" s="188"/>
      <c r="W21" s="188"/>
      <c r="X21" s="97"/>
      <c r="Y21" s="97"/>
      <c r="Z21" s="188"/>
      <c r="AA21" s="188"/>
      <c r="AB21" s="97"/>
      <c r="AC21" s="97"/>
      <c r="AD21" s="188"/>
      <c r="AE21" s="188"/>
      <c r="AF21" s="97"/>
      <c r="AG21" s="97"/>
      <c r="AH21" s="188"/>
      <c r="AI21" s="188"/>
      <c r="AJ21" s="97"/>
      <c r="AK21" s="97"/>
      <c r="AL21" s="188"/>
      <c r="AM21" s="188"/>
      <c r="AN21" s="97"/>
      <c r="AO21" s="97"/>
      <c r="AP21" s="188"/>
      <c r="AQ21" s="188"/>
      <c r="AR21" s="97"/>
      <c r="AS21" s="97"/>
      <c r="AT21" s="188"/>
      <c r="AU21" s="188"/>
      <c r="AV21" s="97"/>
      <c r="AW21" s="97"/>
      <c r="AX21" s="188"/>
      <c r="AY21" s="188"/>
      <c r="AZ21" s="97"/>
      <c r="BA21" s="97"/>
      <c r="BB21" s="188"/>
      <c r="BC21" s="188"/>
      <c r="BD21" s="97"/>
      <c r="BE21" s="97"/>
      <c r="BF21" s="188"/>
      <c r="BG21" s="188"/>
      <c r="BH21" s="97"/>
      <c r="BI21" s="97"/>
      <c r="BJ21" s="188"/>
      <c r="BK21" s="188"/>
      <c r="BL21" s="180"/>
      <c r="BM21" s="180"/>
      <c r="BN21" s="180"/>
      <c r="BO21" s="180"/>
      <c r="BP21" s="180"/>
      <c r="BQ21" s="180"/>
      <c r="BR21" s="180"/>
      <c r="BT21" s="55" t="s">
        <v>300</v>
      </c>
    </row>
    <row r="22" spans="1:71" ht="25.5">
      <c r="A22" s="11" t="s">
        <v>202</v>
      </c>
      <c r="B22" s="8">
        <v>100</v>
      </c>
      <c r="C22" s="36" t="s">
        <v>176</v>
      </c>
      <c r="D22" s="64">
        <f>6*30</f>
        <v>180</v>
      </c>
      <c r="E22" s="29">
        <v>0.15</v>
      </c>
      <c r="F22" s="63">
        <f>E22*D22*B22</f>
        <v>2700</v>
      </c>
      <c r="G22" s="61" t="s">
        <v>203</v>
      </c>
      <c r="H22" s="97"/>
      <c r="I22" s="97"/>
      <c r="J22" s="188"/>
      <c r="K22" s="188"/>
      <c r="L22" s="97" t="s">
        <v>369</v>
      </c>
      <c r="M22" s="217">
        <v>2700</v>
      </c>
      <c r="N22" s="97"/>
      <c r="O22" s="97"/>
      <c r="P22" s="97"/>
      <c r="Q22" s="97"/>
      <c r="R22" s="188"/>
      <c r="S22" s="188"/>
      <c r="T22" s="97"/>
      <c r="U22" s="97"/>
      <c r="V22" s="188"/>
      <c r="W22" s="188"/>
      <c r="X22" s="97"/>
      <c r="Y22" s="97"/>
      <c r="Z22" s="188"/>
      <c r="AA22" s="188"/>
      <c r="AB22" s="97"/>
      <c r="AC22" s="97"/>
      <c r="AD22" s="188"/>
      <c r="AE22" s="188"/>
      <c r="AF22" s="97"/>
      <c r="AG22" s="97"/>
      <c r="AH22" s="188"/>
      <c r="AI22" s="188"/>
      <c r="AJ22" s="97"/>
      <c r="AK22" s="97"/>
      <c r="AL22" s="188"/>
      <c r="AM22" s="188"/>
      <c r="AN22" s="97"/>
      <c r="AO22" s="97"/>
      <c r="AP22" s="188"/>
      <c r="AQ22" s="188"/>
      <c r="AR22" s="97"/>
      <c r="AS22" s="97"/>
      <c r="AT22" s="188"/>
      <c r="AU22" s="188"/>
      <c r="AV22" s="97"/>
      <c r="AW22" s="97"/>
      <c r="AX22" s="188"/>
      <c r="AY22" s="188"/>
      <c r="AZ22" s="97"/>
      <c r="BA22" s="97"/>
      <c r="BB22" s="188"/>
      <c r="BC22" s="188"/>
      <c r="BD22" s="97"/>
      <c r="BE22" s="97"/>
      <c r="BF22" s="188"/>
      <c r="BG22" s="188"/>
      <c r="BH22" s="97"/>
      <c r="BI22" s="97"/>
      <c r="BJ22" s="188"/>
      <c r="BK22" s="188"/>
      <c r="BL22" s="180"/>
      <c r="BM22" s="180"/>
      <c r="BN22" s="180"/>
      <c r="BO22" s="180"/>
      <c r="BP22" s="180"/>
      <c r="BQ22" s="180"/>
      <c r="BR22" s="180"/>
      <c r="BS22" s="55" t="s">
        <v>300</v>
      </c>
    </row>
    <row r="23" spans="1:71" ht="12.75">
      <c r="A23" s="11" t="s">
        <v>4</v>
      </c>
      <c r="B23" s="8">
        <v>10</v>
      </c>
      <c r="C23" s="9" t="s">
        <v>8</v>
      </c>
      <c r="D23" s="64">
        <v>1</v>
      </c>
      <c r="E23" s="29">
        <v>3750</v>
      </c>
      <c r="F23" s="63">
        <f>E23*D23*B23</f>
        <v>37500</v>
      </c>
      <c r="G23" s="61"/>
      <c r="H23" s="97"/>
      <c r="I23" s="97"/>
      <c r="J23" s="188"/>
      <c r="K23" s="188"/>
      <c r="L23" s="97" t="s">
        <v>369</v>
      </c>
      <c r="M23" s="217">
        <v>37500</v>
      </c>
      <c r="N23" s="97"/>
      <c r="O23" s="97"/>
      <c r="P23" s="97"/>
      <c r="Q23" s="97"/>
      <c r="R23" s="188"/>
      <c r="S23" s="188"/>
      <c r="T23" s="97"/>
      <c r="U23" s="97"/>
      <c r="V23" s="188"/>
      <c r="W23" s="188"/>
      <c r="X23" s="97"/>
      <c r="Y23" s="97"/>
      <c r="Z23" s="188"/>
      <c r="AA23" s="188"/>
      <c r="AB23" s="97"/>
      <c r="AC23" s="97"/>
      <c r="AD23" s="188"/>
      <c r="AE23" s="188"/>
      <c r="AF23" s="97"/>
      <c r="AG23" s="97"/>
      <c r="AH23" s="188"/>
      <c r="AI23" s="188"/>
      <c r="AJ23" s="97"/>
      <c r="AK23" s="97"/>
      <c r="AL23" s="188"/>
      <c r="AM23" s="188"/>
      <c r="AN23" s="97"/>
      <c r="AO23" s="97"/>
      <c r="AP23" s="188"/>
      <c r="AQ23" s="188"/>
      <c r="AR23" s="97"/>
      <c r="AS23" s="97"/>
      <c r="AT23" s="188"/>
      <c r="AU23" s="188"/>
      <c r="AV23" s="97"/>
      <c r="AW23" s="97"/>
      <c r="AX23" s="188"/>
      <c r="AY23" s="188"/>
      <c r="AZ23" s="97"/>
      <c r="BA23" s="97"/>
      <c r="BB23" s="188"/>
      <c r="BC23" s="188"/>
      <c r="BD23" s="97"/>
      <c r="BE23" s="97"/>
      <c r="BF23" s="188"/>
      <c r="BG23" s="188"/>
      <c r="BH23" s="97"/>
      <c r="BI23" s="97"/>
      <c r="BJ23" s="188"/>
      <c r="BK23" s="188"/>
      <c r="BL23" s="180"/>
      <c r="BM23" s="180"/>
      <c r="BN23" s="180"/>
      <c r="BO23" s="180"/>
      <c r="BP23" s="180"/>
      <c r="BQ23" s="180"/>
      <c r="BR23" s="180"/>
      <c r="BS23" s="55" t="s">
        <v>300</v>
      </c>
    </row>
    <row r="24" spans="1:71" ht="25.5">
      <c r="A24" s="11" t="s">
        <v>201</v>
      </c>
      <c r="B24" s="8">
        <v>720</v>
      </c>
      <c r="C24" s="9" t="s">
        <v>0</v>
      </c>
      <c r="D24" s="64">
        <v>6</v>
      </c>
      <c r="E24" s="29">
        <v>3</v>
      </c>
      <c r="F24" s="63">
        <f>E24*D24*B24</f>
        <v>12960</v>
      </c>
      <c r="G24" s="61" t="s">
        <v>133</v>
      </c>
      <c r="H24" s="97"/>
      <c r="I24" s="97"/>
      <c r="J24" s="188"/>
      <c r="K24" s="188"/>
      <c r="L24" s="97" t="s">
        <v>369</v>
      </c>
      <c r="M24" s="217">
        <v>12960</v>
      </c>
      <c r="N24" s="97"/>
      <c r="O24" s="97"/>
      <c r="P24" s="97"/>
      <c r="Q24" s="97"/>
      <c r="R24" s="188"/>
      <c r="S24" s="188"/>
      <c r="T24" s="97"/>
      <c r="U24" s="97"/>
      <c r="V24" s="188"/>
      <c r="W24" s="188"/>
      <c r="X24" s="97"/>
      <c r="Y24" s="97"/>
      <c r="Z24" s="188"/>
      <c r="AA24" s="188"/>
      <c r="AB24" s="97"/>
      <c r="AC24" s="97"/>
      <c r="AD24" s="188"/>
      <c r="AE24" s="188"/>
      <c r="AF24" s="97"/>
      <c r="AG24" s="97"/>
      <c r="AH24" s="188"/>
      <c r="AI24" s="188"/>
      <c r="AJ24" s="97"/>
      <c r="AK24" s="97"/>
      <c r="AL24" s="188"/>
      <c r="AM24" s="188"/>
      <c r="AN24" s="97"/>
      <c r="AO24" s="97"/>
      <c r="AP24" s="188"/>
      <c r="AQ24" s="188"/>
      <c r="AR24" s="97"/>
      <c r="AS24" s="97"/>
      <c r="AT24" s="188"/>
      <c r="AU24" s="188"/>
      <c r="AV24" s="97"/>
      <c r="AW24" s="97"/>
      <c r="AX24" s="188"/>
      <c r="AY24" s="188"/>
      <c r="AZ24" s="97"/>
      <c r="BA24" s="97"/>
      <c r="BB24" s="188"/>
      <c r="BC24" s="188"/>
      <c r="BD24" s="97"/>
      <c r="BE24" s="97"/>
      <c r="BF24" s="188"/>
      <c r="BG24" s="188"/>
      <c r="BH24" s="97"/>
      <c r="BI24" s="97"/>
      <c r="BJ24" s="188"/>
      <c r="BK24" s="188"/>
      <c r="BL24" s="180"/>
      <c r="BM24" s="180"/>
      <c r="BN24" s="180"/>
      <c r="BO24" s="180"/>
      <c r="BP24" s="180"/>
      <c r="BQ24" s="180"/>
      <c r="BR24" s="180"/>
      <c r="BS24" s="55" t="s">
        <v>300</v>
      </c>
    </row>
    <row r="25" spans="1:71" ht="25.5">
      <c r="A25" s="11" t="s">
        <v>7</v>
      </c>
      <c r="B25" s="8">
        <v>10</v>
      </c>
      <c r="C25" s="9" t="s">
        <v>8</v>
      </c>
      <c r="D25" s="64">
        <v>1</v>
      </c>
      <c r="E25" s="29">
        <v>225</v>
      </c>
      <c r="F25" s="63">
        <f>E25*D25*B25</f>
        <v>2250</v>
      </c>
      <c r="G25" s="61" t="s">
        <v>91</v>
      </c>
      <c r="H25" s="97"/>
      <c r="I25" s="97"/>
      <c r="J25" s="188"/>
      <c r="K25" s="188"/>
      <c r="L25" s="97" t="s">
        <v>369</v>
      </c>
      <c r="M25" s="217">
        <v>2250</v>
      </c>
      <c r="N25" s="97"/>
      <c r="O25" s="97"/>
      <c r="P25" s="97"/>
      <c r="Q25" s="97"/>
      <c r="R25" s="188"/>
      <c r="S25" s="188"/>
      <c r="T25" s="97"/>
      <c r="U25" s="97"/>
      <c r="V25" s="188"/>
      <c r="W25" s="188"/>
      <c r="X25" s="97"/>
      <c r="Y25" s="97"/>
      <c r="Z25" s="188"/>
      <c r="AA25" s="188"/>
      <c r="AB25" s="97"/>
      <c r="AC25" s="97"/>
      <c r="AD25" s="188"/>
      <c r="AE25" s="188"/>
      <c r="AF25" s="97"/>
      <c r="AG25" s="97"/>
      <c r="AH25" s="188"/>
      <c r="AI25" s="188"/>
      <c r="AJ25" s="97"/>
      <c r="AK25" s="97"/>
      <c r="AL25" s="188"/>
      <c r="AM25" s="188"/>
      <c r="AN25" s="97"/>
      <c r="AO25" s="97"/>
      <c r="AP25" s="188"/>
      <c r="AQ25" s="188"/>
      <c r="AR25" s="97"/>
      <c r="AS25" s="97"/>
      <c r="AT25" s="188"/>
      <c r="AU25" s="188"/>
      <c r="AV25" s="97"/>
      <c r="AW25" s="97"/>
      <c r="AX25" s="188"/>
      <c r="AY25" s="188"/>
      <c r="AZ25" s="97"/>
      <c r="BA25" s="97"/>
      <c r="BB25" s="188"/>
      <c r="BC25" s="188"/>
      <c r="BD25" s="97"/>
      <c r="BE25" s="97"/>
      <c r="BF25" s="188"/>
      <c r="BG25" s="188"/>
      <c r="BH25" s="97"/>
      <c r="BI25" s="97"/>
      <c r="BJ25" s="188"/>
      <c r="BK25" s="188"/>
      <c r="BL25" s="180"/>
      <c r="BM25" s="180"/>
      <c r="BN25" s="180"/>
      <c r="BO25" s="180"/>
      <c r="BP25" s="180"/>
      <c r="BQ25" s="180"/>
      <c r="BR25" s="180"/>
      <c r="BS25" s="55" t="s">
        <v>300</v>
      </c>
    </row>
    <row r="26" spans="1:70" ht="12.75">
      <c r="A26" s="11" t="s">
        <v>5</v>
      </c>
      <c r="B26" s="8">
        <v>1</v>
      </c>
      <c r="C26" s="9" t="s">
        <v>0</v>
      </c>
      <c r="D26" s="64">
        <v>1</v>
      </c>
      <c r="E26" s="29">
        <v>5000</v>
      </c>
      <c r="F26" s="63">
        <f>E26*D26*B26</f>
        <v>5000</v>
      </c>
      <c r="G26" s="61" t="s">
        <v>211</v>
      </c>
      <c r="H26" s="97"/>
      <c r="I26" s="97"/>
      <c r="J26" s="188"/>
      <c r="K26" s="188"/>
      <c r="L26" s="97"/>
      <c r="M26" s="217">
        <v>5000</v>
      </c>
      <c r="N26" s="97"/>
      <c r="O26" s="97"/>
      <c r="P26" s="97"/>
      <c r="Q26" s="97"/>
      <c r="R26" s="188"/>
      <c r="S26" s="188"/>
      <c r="T26" s="97"/>
      <c r="U26" s="97"/>
      <c r="V26" s="188"/>
      <c r="W26" s="188"/>
      <c r="X26" s="97"/>
      <c r="Y26" s="97"/>
      <c r="Z26" s="188"/>
      <c r="AA26" s="188"/>
      <c r="AB26" s="97"/>
      <c r="AC26" s="97"/>
      <c r="AD26" s="188"/>
      <c r="AE26" s="188"/>
      <c r="AF26" s="97"/>
      <c r="AG26" s="97"/>
      <c r="AH26" s="188"/>
      <c r="AI26" s="188"/>
      <c r="AJ26" s="97"/>
      <c r="AK26" s="97"/>
      <c r="AL26" s="188"/>
      <c r="AM26" s="188"/>
      <c r="AN26" s="97"/>
      <c r="AO26" s="97"/>
      <c r="AP26" s="188"/>
      <c r="AQ26" s="188"/>
      <c r="AR26" s="97"/>
      <c r="AS26" s="97"/>
      <c r="AT26" s="188"/>
      <c r="AU26" s="188"/>
      <c r="AV26" s="97"/>
      <c r="AW26" s="97"/>
      <c r="AX26" s="188"/>
      <c r="AY26" s="188"/>
      <c r="AZ26" s="97"/>
      <c r="BA26" s="97"/>
      <c r="BB26" s="188"/>
      <c r="BC26" s="188"/>
      <c r="BD26" s="97"/>
      <c r="BE26" s="97"/>
      <c r="BF26" s="188"/>
      <c r="BG26" s="188"/>
      <c r="BH26" s="97"/>
      <c r="BI26" s="97"/>
      <c r="BJ26" s="188"/>
      <c r="BK26" s="188"/>
      <c r="BL26" s="180"/>
      <c r="BM26" s="180"/>
      <c r="BN26" s="180"/>
      <c r="BO26" s="180"/>
      <c r="BP26" s="180"/>
      <c r="BQ26" s="180"/>
      <c r="BR26" s="180"/>
    </row>
    <row r="27" spans="1:70" ht="12.75">
      <c r="A27" s="11"/>
      <c r="B27" s="8"/>
      <c r="C27" s="9"/>
      <c r="D27" s="64"/>
      <c r="E27" s="29"/>
      <c r="F27" s="63">
        <f t="shared" si="0"/>
        <v>0</v>
      </c>
      <c r="G27" s="61"/>
      <c r="H27" s="97"/>
      <c r="I27" s="97"/>
      <c r="J27" s="188"/>
      <c r="K27" s="188"/>
      <c r="L27" s="97"/>
      <c r="M27" s="97"/>
      <c r="N27" s="97"/>
      <c r="O27" s="97"/>
      <c r="P27" s="97"/>
      <c r="Q27" s="97"/>
      <c r="R27" s="188"/>
      <c r="S27" s="188"/>
      <c r="T27" s="97"/>
      <c r="U27" s="97"/>
      <c r="V27" s="188"/>
      <c r="W27" s="188"/>
      <c r="X27" s="97"/>
      <c r="Y27" s="97"/>
      <c r="Z27" s="188"/>
      <c r="AA27" s="188"/>
      <c r="AB27" s="97"/>
      <c r="AC27" s="97"/>
      <c r="AD27" s="188"/>
      <c r="AE27" s="188"/>
      <c r="AF27" s="97"/>
      <c r="AG27" s="97"/>
      <c r="AH27" s="188"/>
      <c r="AI27" s="188"/>
      <c r="AJ27" s="97"/>
      <c r="AK27" s="97"/>
      <c r="AL27" s="188"/>
      <c r="AM27" s="188"/>
      <c r="AN27" s="97"/>
      <c r="AO27" s="97"/>
      <c r="AP27" s="188"/>
      <c r="AQ27" s="188"/>
      <c r="AR27" s="97"/>
      <c r="AS27" s="97"/>
      <c r="AT27" s="188"/>
      <c r="AU27" s="188"/>
      <c r="AV27" s="97"/>
      <c r="AW27" s="97"/>
      <c r="AX27" s="188"/>
      <c r="AY27" s="188"/>
      <c r="AZ27" s="97"/>
      <c r="BA27" s="97"/>
      <c r="BB27" s="188"/>
      <c r="BC27" s="188"/>
      <c r="BD27" s="97"/>
      <c r="BE27" s="97"/>
      <c r="BF27" s="188"/>
      <c r="BG27" s="188"/>
      <c r="BH27" s="97"/>
      <c r="BI27" s="97"/>
      <c r="BJ27" s="188"/>
      <c r="BK27" s="188"/>
      <c r="BL27" s="180"/>
      <c r="BM27" s="180"/>
      <c r="BN27" s="180"/>
      <c r="BO27" s="180"/>
      <c r="BP27" s="180"/>
      <c r="BQ27" s="180"/>
      <c r="BR27" s="180"/>
    </row>
    <row r="28" spans="1:70" ht="12.75">
      <c r="A28" s="11"/>
      <c r="B28" s="8"/>
      <c r="C28" s="9"/>
      <c r="D28" s="64"/>
      <c r="E28" s="29"/>
      <c r="F28" s="63">
        <f t="shared" si="0"/>
        <v>0</v>
      </c>
      <c r="G28" s="61"/>
      <c r="H28" s="97"/>
      <c r="I28" s="97"/>
      <c r="J28" s="188"/>
      <c r="K28" s="188"/>
      <c r="L28" s="97"/>
      <c r="M28" s="97"/>
      <c r="N28" s="188"/>
      <c r="O28" s="188"/>
      <c r="P28" s="97"/>
      <c r="Q28" s="97"/>
      <c r="R28" s="188"/>
      <c r="S28" s="188"/>
      <c r="T28" s="97"/>
      <c r="U28" s="97"/>
      <c r="V28" s="188"/>
      <c r="W28" s="188"/>
      <c r="X28" s="97"/>
      <c r="Y28" s="97"/>
      <c r="Z28" s="188"/>
      <c r="AA28" s="188"/>
      <c r="AB28" s="97"/>
      <c r="AC28" s="97"/>
      <c r="AD28" s="188"/>
      <c r="AE28" s="188"/>
      <c r="AF28" s="97"/>
      <c r="AG28" s="97"/>
      <c r="AH28" s="188"/>
      <c r="AI28" s="188"/>
      <c r="AJ28" s="97"/>
      <c r="AK28" s="97"/>
      <c r="AL28" s="188"/>
      <c r="AM28" s="188"/>
      <c r="AN28" s="97"/>
      <c r="AO28" s="97"/>
      <c r="AP28" s="188"/>
      <c r="AQ28" s="188"/>
      <c r="AR28" s="97"/>
      <c r="AS28" s="97"/>
      <c r="AT28" s="188"/>
      <c r="AU28" s="188"/>
      <c r="AV28" s="97"/>
      <c r="AW28" s="97"/>
      <c r="AX28" s="188"/>
      <c r="AY28" s="188"/>
      <c r="AZ28" s="97"/>
      <c r="BA28" s="97"/>
      <c r="BB28" s="188"/>
      <c r="BC28" s="188"/>
      <c r="BD28" s="97"/>
      <c r="BE28" s="97"/>
      <c r="BF28" s="188"/>
      <c r="BG28" s="188"/>
      <c r="BH28" s="97"/>
      <c r="BI28" s="97"/>
      <c r="BJ28" s="188"/>
      <c r="BK28" s="188"/>
      <c r="BL28" s="180"/>
      <c r="BM28" s="180"/>
      <c r="BN28" s="180"/>
      <c r="BO28" s="180"/>
      <c r="BP28" s="180"/>
      <c r="BQ28" s="180"/>
      <c r="BR28" s="180"/>
    </row>
    <row r="29" spans="1:70" ht="12.75">
      <c r="A29" s="119"/>
      <c r="B29" s="120"/>
      <c r="C29" s="121"/>
      <c r="D29" s="122"/>
      <c r="E29" s="123"/>
      <c r="F29" s="124">
        <f t="shared" si="0"/>
        <v>0</v>
      </c>
      <c r="G29" s="125"/>
      <c r="H29" s="126"/>
      <c r="I29" s="126"/>
      <c r="J29" s="189"/>
      <c r="K29" s="188"/>
      <c r="L29" s="126"/>
      <c r="M29" s="126"/>
      <c r="N29" s="189"/>
      <c r="O29" s="188"/>
      <c r="P29" s="126"/>
      <c r="Q29" s="126"/>
      <c r="R29" s="189"/>
      <c r="S29" s="188"/>
      <c r="T29" s="126"/>
      <c r="U29" s="126"/>
      <c r="V29" s="189"/>
      <c r="W29" s="188"/>
      <c r="X29" s="126"/>
      <c r="Y29" s="126"/>
      <c r="Z29" s="189"/>
      <c r="AA29" s="188"/>
      <c r="AB29" s="126"/>
      <c r="AC29" s="126"/>
      <c r="AD29" s="189"/>
      <c r="AE29" s="188"/>
      <c r="AF29" s="126"/>
      <c r="AG29" s="126"/>
      <c r="AH29" s="189"/>
      <c r="AI29" s="188"/>
      <c r="AJ29" s="126"/>
      <c r="AK29" s="126"/>
      <c r="AL29" s="189"/>
      <c r="AM29" s="188"/>
      <c r="AN29" s="126"/>
      <c r="AO29" s="126"/>
      <c r="AP29" s="189"/>
      <c r="AQ29" s="188"/>
      <c r="AR29" s="126"/>
      <c r="AS29" s="126"/>
      <c r="AT29" s="189"/>
      <c r="AU29" s="188"/>
      <c r="AV29" s="126"/>
      <c r="AW29" s="126"/>
      <c r="AX29" s="189"/>
      <c r="AY29" s="188"/>
      <c r="AZ29" s="126"/>
      <c r="BA29" s="126"/>
      <c r="BB29" s="189"/>
      <c r="BC29" s="188"/>
      <c r="BD29" s="126"/>
      <c r="BE29" s="126"/>
      <c r="BF29" s="189"/>
      <c r="BG29" s="188"/>
      <c r="BH29" s="126"/>
      <c r="BI29" s="126"/>
      <c r="BJ29" s="189"/>
      <c r="BK29" s="188"/>
      <c r="BL29" s="180"/>
      <c r="BM29" s="180"/>
      <c r="BN29" s="180"/>
      <c r="BO29" s="180"/>
      <c r="BP29" s="180"/>
      <c r="BQ29" s="180"/>
      <c r="BR29" s="180"/>
    </row>
    <row r="30" spans="1:70" ht="12.75">
      <c r="A30" s="52" t="s">
        <v>30</v>
      </c>
      <c r="B30" s="109"/>
      <c r="C30" s="103"/>
      <c r="D30" s="104"/>
      <c r="E30" s="130">
        <v>0</v>
      </c>
      <c r="F30" s="58">
        <f>SUM(F31:F49)</f>
        <v>26087166.666666664</v>
      </c>
      <c r="G30" s="58"/>
      <c r="H30" s="58"/>
      <c r="I30" s="58"/>
      <c r="J30" s="58">
        <f>SUM(J31:J49)</f>
        <v>137000</v>
      </c>
      <c r="K30" s="190"/>
      <c r="L30" s="58"/>
      <c r="M30" s="58">
        <f>SUM(M31:M49)</f>
        <v>494640</v>
      </c>
      <c r="N30" s="58">
        <f>SUM(N31:N49)</f>
        <v>0</v>
      </c>
      <c r="O30" s="190"/>
      <c r="P30" s="58"/>
      <c r="Q30" s="58"/>
      <c r="R30" s="58">
        <f>SUM(R31:R49)</f>
        <v>0</v>
      </c>
      <c r="S30" s="190"/>
      <c r="T30" s="58"/>
      <c r="U30" s="58"/>
      <c r="V30" s="58">
        <f>SUM(V31:V49)</f>
        <v>0</v>
      </c>
      <c r="W30" s="190"/>
      <c r="X30" s="58"/>
      <c r="Y30" s="58"/>
      <c r="Z30" s="58">
        <f>SUM(Z31:Z49)</f>
        <v>0</v>
      </c>
      <c r="AA30" s="190"/>
      <c r="AB30" s="58"/>
      <c r="AC30" s="58"/>
      <c r="AD30" s="58">
        <f>SUM(AD31:AD49)</f>
        <v>0</v>
      </c>
      <c r="AE30" s="190"/>
      <c r="AF30" s="58"/>
      <c r="AG30" s="58"/>
      <c r="AH30" s="58">
        <f>SUM(AH31:AH49)</f>
        <v>0</v>
      </c>
      <c r="AI30" s="190"/>
      <c r="AJ30" s="58"/>
      <c r="AK30" s="58"/>
      <c r="AL30" s="58">
        <f>SUM(AL31:AL49)</f>
        <v>0</v>
      </c>
      <c r="AM30" s="190"/>
      <c r="AN30" s="58"/>
      <c r="AO30" s="58"/>
      <c r="AP30" s="58">
        <f>SUM(AP31:AP49)</f>
        <v>0</v>
      </c>
      <c r="AQ30" s="190"/>
      <c r="AR30" s="58"/>
      <c r="AS30" s="58"/>
      <c r="AT30" s="58">
        <f>SUM(AT31:AT49)</f>
        <v>0</v>
      </c>
      <c r="AU30" s="190"/>
      <c r="AV30" s="58"/>
      <c r="AW30" s="58"/>
      <c r="AX30" s="58">
        <f>SUM(AX31:AX49)</f>
        <v>0</v>
      </c>
      <c r="AY30" s="190"/>
      <c r="AZ30" s="58"/>
      <c r="BA30" s="58"/>
      <c r="BB30" s="58">
        <f>SUM(BB31:BB49)</f>
        <v>0</v>
      </c>
      <c r="BC30" s="190"/>
      <c r="BD30" s="58"/>
      <c r="BE30" s="58"/>
      <c r="BF30" s="58">
        <f>SUM(BF31:BF49)</f>
        <v>0</v>
      </c>
      <c r="BG30" s="190"/>
      <c r="BH30" s="58"/>
      <c r="BI30" s="58"/>
      <c r="BJ30" s="58">
        <f>SUM(BJ31:BJ49)</f>
        <v>0</v>
      </c>
      <c r="BK30" s="190"/>
      <c r="BL30" s="179"/>
      <c r="BM30" s="179"/>
      <c r="BN30" s="179"/>
      <c r="BO30" s="179"/>
      <c r="BP30" s="179"/>
      <c r="BQ30" s="179"/>
      <c r="BR30" s="179"/>
    </row>
    <row r="31" spans="1:71" ht="12.75">
      <c r="A31" s="100" t="s">
        <v>135</v>
      </c>
      <c r="B31" s="19">
        <v>30</v>
      </c>
      <c r="C31" s="19" t="s">
        <v>66</v>
      </c>
      <c r="D31" s="59">
        <f>2*30</f>
        <v>60</v>
      </c>
      <c r="E31" s="39">
        <v>50</v>
      </c>
      <c r="F31" s="60">
        <f aca="true" t="shared" si="1" ref="F31:F49">E31*D31*B31</f>
        <v>90000</v>
      </c>
      <c r="G31" s="108" t="s">
        <v>134</v>
      </c>
      <c r="H31" s="128"/>
      <c r="I31" s="128"/>
      <c r="J31" s="191"/>
      <c r="K31" s="188"/>
      <c r="L31" s="128"/>
      <c r="M31" s="128"/>
      <c r="N31" s="191"/>
      <c r="O31" s="188"/>
      <c r="P31" s="128"/>
      <c r="Q31" s="128"/>
      <c r="R31" s="191"/>
      <c r="S31" s="188"/>
      <c r="T31" s="128"/>
      <c r="U31" s="128"/>
      <c r="V31" s="191"/>
      <c r="W31" s="188"/>
      <c r="X31" s="128"/>
      <c r="Y31" s="128"/>
      <c r="Z31" s="191"/>
      <c r="AA31" s="188"/>
      <c r="AB31" s="128"/>
      <c r="AC31" s="128"/>
      <c r="AD31" s="191"/>
      <c r="AE31" s="188"/>
      <c r="AF31" s="128"/>
      <c r="AG31" s="128"/>
      <c r="AH31" s="191"/>
      <c r="AI31" s="188"/>
      <c r="AJ31" s="128"/>
      <c r="AK31" s="128"/>
      <c r="AL31" s="191"/>
      <c r="AM31" s="188"/>
      <c r="AN31" s="128"/>
      <c r="AO31" s="128"/>
      <c r="AP31" s="191"/>
      <c r="AQ31" s="188"/>
      <c r="AR31" s="128"/>
      <c r="AS31" s="128"/>
      <c r="AT31" s="191"/>
      <c r="AU31" s="188"/>
      <c r="AV31" s="128"/>
      <c r="AW31" s="128"/>
      <c r="AX31" s="191"/>
      <c r="AY31" s="188"/>
      <c r="AZ31" s="128"/>
      <c r="BA31" s="128"/>
      <c r="BB31" s="191"/>
      <c r="BC31" s="188"/>
      <c r="BD31" s="128"/>
      <c r="BE31" s="128"/>
      <c r="BF31" s="191"/>
      <c r="BG31" s="188"/>
      <c r="BH31" s="128"/>
      <c r="BI31" s="128"/>
      <c r="BJ31" s="191"/>
      <c r="BK31" s="188"/>
      <c r="BL31" s="180"/>
      <c r="BM31" s="180"/>
      <c r="BN31" s="180"/>
      <c r="BO31" s="180"/>
      <c r="BP31" s="180"/>
      <c r="BQ31" s="180"/>
      <c r="BR31" s="180"/>
      <c r="BS31" s="55" t="s">
        <v>300</v>
      </c>
    </row>
    <row r="32" spans="1:72" ht="38.25">
      <c r="A32" s="62" t="s">
        <v>224</v>
      </c>
      <c r="B32" s="8">
        <f>B1/F2/6*2</f>
        <v>8666.666666666666</v>
      </c>
      <c r="C32" s="8" t="s">
        <v>66</v>
      </c>
      <c r="D32" s="64">
        <v>1</v>
      </c>
      <c r="E32" s="38">
        <v>1914</v>
      </c>
      <c r="F32" s="63">
        <f>E32*D32*B32</f>
        <v>16587999.999999998</v>
      </c>
      <c r="G32" s="61" t="s">
        <v>407</v>
      </c>
      <c r="H32" s="97"/>
      <c r="I32" s="97"/>
      <c r="J32" s="188"/>
      <c r="K32" s="188"/>
      <c r="L32" s="97"/>
      <c r="M32" s="97"/>
      <c r="N32" s="188"/>
      <c r="O32" s="188"/>
      <c r="P32" s="97"/>
      <c r="Q32" s="97"/>
      <c r="R32" s="188"/>
      <c r="S32" s="188"/>
      <c r="T32" s="97"/>
      <c r="U32" s="97"/>
      <c r="V32" s="188"/>
      <c r="W32" s="188"/>
      <c r="X32" s="97"/>
      <c r="Y32" s="97"/>
      <c r="Z32" s="188"/>
      <c r="AA32" s="188"/>
      <c r="AB32" s="97"/>
      <c r="AC32" s="97"/>
      <c r="AD32" s="188"/>
      <c r="AE32" s="188"/>
      <c r="AF32" s="97"/>
      <c r="AG32" s="97"/>
      <c r="AH32" s="188"/>
      <c r="AI32" s="188"/>
      <c r="AJ32" s="97"/>
      <c r="AK32" s="97"/>
      <c r="AL32" s="188"/>
      <c r="AM32" s="188"/>
      <c r="AN32" s="97"/>
      <c r="AO32" s="97"/>
      <c r="AP32" s="188"/>
      <c r="AQ32" s="188"/>
      <c r="AR32" s="97"/>
      <c r="AS32" s="97"/>
      <c r="AT32" s="188"/>
      <c r="AU32" s="188"/>
      <c r="AV32" s="97"/>
      <c r="AW32" s="97"/>
      <c r="AX32" s="188"/>
      <c r="AY32" s="188"/>
      <c r="AZ32" s="97"/>
      <c r="BA32" s="97"/>
      <c r="BB32" s="188"/>
      <c r="BC32" s="188"/>
      <c r="BD32" s="97"/>
      <c r="BE32" s="97"/>
      <c r="BF32" s="188"/>
      <c r="BG32" s="188"/>
      <c r="BH32" s="97"/>
      <c r="BI32" s="97"/>
      <c r="BJ32" s="188"/>
      <c r="BK32" s="188"/>
      <c r="BL32" s="180"/>
      <c r="BM32" s="180"/>
      <c r="BN32" s="180"/>
      <c r="BO32" s="180"/>
      <c r="BP32" s="180"/>
      <c r="BQ32" s="180"/>
      <c r="BR32" s="180"/>
      <c r="BT32" s="55" t="s">
        <v>300</v>
      </c>
    </row>
    <row r="33" spans="1:71" ht="12.75">
      <c r="A33" s="101" t="s">
        <v>225</v>
      </c>
      <c r="B33" s="8">
        <f>B32*20/100</f>
        <v>1733.333333333333</v>
      </c>
      <c r="C33" s="8" t="s">
        <v>66</v>
      </c>
      <c r="D33" s="64">
        <v>1</v>
      </c>
      <c r="E33" s="29">
        <v>300</v>
      </c>
      <c r="F33" s="63">
        <f t="shared" si="1"/>
        <v>519999.9999999999</v>
      </c>
      <c r="G33" s="61" t="s">
        <v>122</v>
      </c>
      <c r="H33" s="97"/>
      <c r="I33" s="97"/>
      <c r="J33" s="188"/>
      <c r="K33" s="188"/>
      <c r="L33" s="97"/>
      <c r="M33" s="97"/>
      <c r="N33" s="188"/>
      <c r="O33" s="188"/>
      <c r="P33" s="97"/>
      <c r="Q33" s="97"/>
      <c r="R33" s="188"/>
      <c r="S33" s="188"/>
      <c r="T33" s="97"/>
      <c r="U33" s="97"/>
      <c r="V33" s="188"/>
      <c r="W33" s="188"/>
      <c r="X33" s="97"/>
      <c r="Y33" s="97"/>
      <c r="Z33" s="188"/>
      <c r="AA33" s="188"/>
      <c r="AB33" s="97"/>
      <c r="AC33" s="97"/>
      <c r="AD33" s="188"/>
      <c r="AE33" s="188"/>
      <c r="AF33" s="97"/>
      <c r="AG33" s="97"/>
      <c r="AH33" s="188"/>
      <c r="AI33" s="188"/>
      <c r="AJ33" s="97"/>
      <c r="AK33" s="97"/>
      <c r="AL33" s="188"/>
      <c r="AM33" s="188"/>
      <c r="AN33" s="97"/>
      <c r="AO33" s="97"/>
      <c r="AP33" s="188"/>
      <c r="AQ33" s="188"/>
      <c r="AR33" s="97"/>
      <c r="AS33" s="97"/>
      <c r="AT33" s="188"/>
      <c r="AU33" s="188"/>
      <c r="AV33" s="97"/>
      <c r="AW33" s="97"/>
      <c r="AX33" s="188"/>
      <c r="AY33" s="188"/>
      <c r="AZ33" s="97"/>
      <c r="BA33" s="97"/>
      <c r="BB33" s="188"/>
      <c r="BC33" s="188"/>
      <c r="BD33" s="97"/>
      <c r="BE33" s="97"/>
      <c r="BF33" s="188"/>
      <c r="BG33" s="188"/>
      <c r="BH33" s="97"/>
      <c r="BI33" s="97"/>
      <c r="BJ33" s="188"/>
      <c r="BK33" s="188"/>
      <c r="BL33" s="180"/>
      <c r="BM33" s="180"/>
      <c r="BN33" s="180"/>
      <c r="BO33" s="180"/>
      <c r="BP33" s="180"/>
      <c r="BQ33" s="180"/>
      <c r="BR33" s="180"/>
      <c r="BS33" s="55" t="s">
        <v>300</v>
      </c>
    </row>
    <row r="34" spans="1:71" ht="63.75">
      <c r="A34" s="101" t="s">
        <v>226</v>
      </c>
      <c r="B34" s="8">
        <f>B32/2+B32/2*10/100*6</f>
        <v>6933.333333333332</v>
      </c>
      <c r="C34" s="8" t="s">
        <v>8</v>
      </c>
      <c r="D34" s="64">
        <v>1</v>
      </c>
      <c r="E34" s="38">
        <v>200</v>
      </c>
      <c r="F34" s="63">
        <f t="shared" si="1"/>
        <v>1386666.6666666665</v>
      </c>
      <c r="G34" s="61" t="s">
        <v>136</v>
      </c>
      <c r="H34" s="97"/>
      <c r="I34" s="97"/>
      <c r="J34" s="188"/>
      <c r="K34" s="188"/>
      <c r="L34" s="97"/>
      <c r="M34" s="97"/>
      <c r="N34" s="188"/>
      <c r="O34" s="188"/>
      <c r="P34" s="97"/>
      <c r="Q34" s="97"/>
      <c r="R34" s="188"/>
      <c r="S34" s="188"/>
      <c r="T34" s="97"/>
      <c r="U34" s="97"/>
      <c r="V34" s="188"/>
      <c r="W34" s="188"/>
      <c r="X34" s="97"/>
      <c r="Y34" s="97"/>
      <c r="Z34" s="188"/>
      <c r="AA34" s="188"/>
      <c r="AB34" s="97"/>
      <c r="AC34" s="97"/>
      <c r="AD34" s="188"/>
      <c r="AE34" s="188"/>
      <c r="AF34" s="97"/>
      <c r="AG34" s="97"/>
      <c r="AH34" s="188"/>
      <c r="AI34" s="188"/>
      <c r="AJ34" s="97"/>
      <c r="AK34" s="97"/>
      <c r="AL34" s="188"/>
      <c r="AM34" s="188"/>
      <c r="AN34" s="97"/>
      <c r="AO34" s="97"/>
      <c r="AP34" s="188"/>
      <c r="AQ34" s="188"/>
      <c r="AR34" s="97"/>
      <c r="AS34" s="97"/>
      <c r="AT34" s="188"/>
      <c r="AU34" s="188"/>
      <c r="AV34" s="97"/>
      <c r="AW34" s="97"/>
      <c r="AX34" s="188"/>
      <c r="AY34" s="188"/>
      <c r="AZ34" s="97"/>
      <c r="BA34" s="97"/>
      <c r="BB34" s="188"/>
      <c r="BC34" s="188"/>
      <c r="BD34" s="97"/>
      <c r="BE34" s="97"/>
      <c r="BF34" s="188"/>
      <c r="BG34" s="188"/>
      <c r="BH34" s="97"/>
      <c r="BI34" s="97"/>
      <c r="BJ34" s="188"/>
      <c r="BK34" s="188"/>
      <c r="BL34" s="180"/>
      <c r="BM34" s="180"/>
      <c r="BN34" s="180"/>
      <c r="BO34" s="180"/>
      <c r="BP34" s="180"/>
      <c r="BQ34" s="180"/>
      <c r="BR34" s="180"/>
      <c r="BS34" s="55" t="s">
        <v>300</v>
      </c>
    </row>
    <row r="35" spans="1:71" ht="38.25">
      <c r="A35" s="11" t="s">
        <v>227</v>
      </c>
      <c r="B35" s="8">
        <f>15*B1/1000</f>
        <v>1950</v>
      </c>
      <c r="C35" s="8" t="s">
        <v>65</v>
      </c>
      <c r="D35" s="65">
        <f>6*30</f>
        <v>180</v>
      </c>
      <c r="E35" s="38">
        <v>7</v>
      </c>
      <c r="F35" s="66">
        <f t="shared" si="1"/>
        <v>2457000</v>
      </c>
      <c r="G35" s="61" t="s">
        <v>212</v>
      </c>
      <c r="H35" s="97"/>
      <c r="I35" s="97"/>
      <c r="J35" s="188"/>
      <c r="K35" s="188"/>
      <c r="L35" s="97"/>
      <c r="M35" s="97"/>
      <c r="N35" s="188"/>
      <c r="O35" s="188"/>
      <c r="P35" s="97"/>
      <c r="Q35" s="97"/>
      <c r="R35" s="188"/>
      <c r="S35" s="188"/>
      <c r="T35" s="97"/>
      <c r="U35" s="97"/>
      <c r="V35" s="188"/>
      <c r="W35" s="188"/>
      <c r="X35" s="97"/>
      <c r="Y35" s="97"/>
      <c r="Z35" s="188"/>
      <c r="AA35" s="188"/>
      <c r="AB35" s="97"/>
      <c r="AC35" s="97"/>
      <c r="AD35" s="188"/>
      <c r="AE35" s="188"/>
      <c r="AF35" s="97"/>
      <c r="AG35" s="97"/>
      <c r="AH35" s="188"/>
      <c r="AI35" s="188"/>
      <c r="AJ35" s="97"/>
      <c r="AK35" s="97"/>
      <c r="AL35" s="188"/>
      <c r="AM35" s="188"/>
      <c r="AN35" s="97"/>
      <c r="AO35" s="97"/>
      <c r="AP35" s="188"/>
      <c r="AQ35" s="188"/>
      <c r="AR35" s="97"/>
      <c r="AS35" s="97"/>
      <c r="AT35" s="188"/>
      <c r="AU35" s="188"/>
      <c r="AV35" s="97"/>
      <c r="AW35" s="97"/>
      <c r="AX35" s="188"/>
      <c r="AY35" s="188"/>
      <c r="AZ35" s="97"/>
      <c r="BA35" s="97"/>
      <c r="BB35" s="188"/>
      <c r="BC35" s="188"/>
      <c r="BD35" s="97"/>
      <c r="BE35" s="97"/>
      <c r="BF35" s="188"/>
      <c r="BG35" s="188"/>
      <c r="BH35" s="97"/>
      <c r="BI35" s="97"/>
      <c r="BJ35" s="188"/>
      <c r="BK35" s="188"/>
      <c r="BL35" s="180"/>
      <c r="BM35" s="180"/>
      <c r="BN35" s="180"/>
      <c r="BO35" s="180"/>
      <c r="BP35" s="180"/>
      <c r="BQ35" s="180"/>
      <c r="BR35" s="180"/>
      <c r="BS35" s="55" t="s">
        <v>300</v>
      </c>
    </row>
    <row r="36" spans="1:71" ht="51">
      <c r="A36" s="55" t="s">
        <v>228</v>
      </c>
      <c r="B36" s="8">
        <f>B1/F1*10/100/8*2</f>
        <v>270.83333333333337</v>
      </c>
      <c r="C36" s="8" t="s">
        <v>67</v>
      </c>
      <c r="D36" s="64">
        <f>6*30</f>
        <v>180</v>
      </c>
      <c r="E36" s="29">
        <v>10</v>
      </c>
      <c r="F36" s="63">
        <f t="shared" si="1"/>
        <v>487500.00000000006</v>
      </c>
      <c r="G36" s="61" t="s">
        <v>333</v>
      </c>
      <c r="H36" s="97"/>
      <c r="I36" s="97"/>
      <c r="J36" s="188"/>
      <c r="K36" s="188"/>
      <c r="L36" s="97"/>
      <c r="M36" s="97"/>
      <c r="N36" s="188"/>
      <c r="O36" s="188"/>
      <c r="P36" s="97"/>
      <c r="Q36" s="97"/>
      <c r="R36" s="188"/>
      <c r="S36" s="188"/>
      <c r="T36" s="97"/>
      <c r="U36" s="97"/>
      <c r="V36" s="188"/>
      <c r="W36" s="188"/>
      <c r="X36" s="97"/>
      <c r="Y36" s="97"/>
      <c r="Z36" s="188"/>
      <c r="AA36" s="188"/>
      <c r="AB36" s="97"/>
      <c r="AC36" s="97"/>
      <c r="AD36" s="188"/>
      <c r="AE36" s="188"/>
      <c r="AF36" s="97"/>
      <c r="AG36" s="97"/>
      <c r="AH36" s="188"/>
      <c r="AI36" s="188"/>
      <c r="AJ36" s="97"/>
      <c r="AK36" s="97"/>
      <c r="AL36" s="188"/>
      <c r="AM36" s="188"/>
      <c r="AN36" s="97"/>
      <c r="AO36" s="97"/>
      <c r="AP36" s="188"/>
      <c r="AQ36" s="188"/>
      <c r="AR36" s="97"/>
      <c r="AS36" s="97"/>
      <c r="AT36" s="188"/>
      <c r="AU36" s="188"/>
      <c r="AV36" s="97"/>
      <c r="AW36" s="97"/>
      <c r="AX36" s="188"/>
      <c r="AY36" s="188"/>
      <c r="AZ36" s="97"/>
      <c r="BA36" s="97"/>
      <c r="BB36" s="188"/>
      <c r="BC36" s="188"/>
      <c r="BD36" s="97"/>
      <c r="BE36" s="97"/>
      <c r="BF36" s="188"/>
      <c r="BG36" s="188"/>
      <c r="BH36" s="97"/>
      <c r="BI36" s="97"/>
      <c r="BJ36" s="188"/>
      <c r="BK36" s="188"/>
      <c r="BL36" s="180"/>
      <c r="BM36" s="180"/>
      <c r="BN36" s="180"/>
      <c r="BO36" s="180"/>
      <c r="BP36" s="180"/>
      <c r="BQ36" s="180"/>
      <c r="BR36" s="180"/>
      <c r="BS36" s="55" t="s">
        <v>300</v>
      </c>
    </row>
    <row r="37" spans="1:71" ht="51">
      <c r="A37" s="11" t="s">
        <v>41</v>
      </c>
      <c r="B37" s="8">
        <f>B1/250*10/100</f>
        <v>52</v>
      </c>
      <c r="C37" s="8" t="s">
        <v>67</v>
      </c>
      <c r="D37" s="65">
        <f>6*25</f>
        <v>150</v>
      </c>
      <c r="E37" s="29">
        <v>8</v>
      </c>
      <c r="F37" s="63">
        <f>E37*D37*B37</f>
        <v>62400</v>
      </c>
      <c r="G37" s="61" t="s">
        <v>334</v>
      </c>
      <c r="H37" s="97"/>
      <c r="I37" s="97"/>
      <c r="J37" s="188"/>
      <c r="K37" s="188"/>
      <c r="L37" s="97"/>
      <c r="M37" s="97"/>
      <c r="N37" s="188"/>
      <c r="O37" s="188"/>
      <c r="P37" s="97"/>
      <c r="Q37" s="97"/>
      <c r="R37" s="188"/>
      <c r="S37" s="188"/>
      <c r="T37" s="97"/>
      <c r="U37" s="97"/>
      <c r="V37" s="188"/>
      <c r="W37" s="188"/>
      <c r="X37" s="97"/>
      <c r="Y37" s="97"/>
      <c r="Z37" s="188"/>
      <c r="AA37" s="188"/>
      <c r="AB37" s="97"/>
      <c r="AC37" s="97"/>
      <c r="AD37" s="188"/>
      <c r="AE37" s="188"/>
      <c r="AF37" s="97"/>
      <c r="AG37" s="97"/>
      <c r="AH37" s="188"/>
      <c r="AI37" s="188"/>
      <c r="AJ37" s="97"/>
      <c r="AK37" s="97"/>
      <c r="AL37" s="188"/>
      <c r="AM37" s="188"/>
      <c r="AN37" s="97"/>
      <c r="AO37" s="97"/>
      <c r="AP37" s="188"/>
      <c r="AQ37" s="188"/>
      <c r="AR37" s="97"/>
      <c r="AS37" s="97"/>
      <c r="AT37" s="188"/>
      <c r="AU37" s="188"/>
      <c r="AV37" s="97"/>
      <c r="AW37" s="97"/>
      <c r="AX37" s="188"/>
      <c r="AY37" s="188"/>
      <c r="AZ37" s="97"/>
      <c r="BA37" s="97"/>
      <c r="BB37" s="188"/>
      <c r="BC37" s="188"/>
      <c r="BD37" s="97"/>
      <c r="BE37" s="97"/>
      <c r="BF37" s="188"/>
      <c r="BG37" s="188"/>
      <c r="BH37" s="97"/>
      <c r="BI37" s="97"/>
      <c r="BJ37" s="188"/>
      <c r="BK37" s="188"/>
      <c r="BL37" s="180"/>
      <c r="BM37" s="180"/>
      <c r="BN37" s="180"/>
      <c r="BO37" s="180"/>
      <c r="BP37" s="180"/>
      <c r="BQ37" s="180"/>
      <c r="BR37" s="180"/>
      <c r="BS37" s="55" t="s">
        <v>300</v>
      </c>
    </row>
    <row r="38" spans="1:71" ht="12.75">
      <c r="A38" s="11" t="s">
        <v>123</v>
      </c>
      <c r="B38" s="8">
        <f>B37</f>
        <v>52</v>
      </c>
      <c r="C38" s="8" t="s">
        <v>8</v>
      </c>
      <c r="D38" s="65">
        <v>4</v>
      </c>
      <c r="E38" s="102">
        <v>150</v>
      </c>
      <c r="F38" s="63">
        <f>E38*D38*B38</f>
        <v>31200</v>
      </c>
      <c r="G38" s="61" t="s">
        <v>137</v>
      </c>
      <c r="H38" s="97"/>
      <c r="I38" s="97"/>
      <c r="J38" s="188"/>
      <c r="K38" s="188"/>
      <c r="L38" s="97"/>
      <c r="M38" s="97"/>
      <c r="N38" s="188"/>
      <c r="O38" s="188"/>
      <c r="P38" s="97"/>
      <c r="Q38" s="97"/>
      <c r="R38" s="188"/>
      <c r="S38" s="188"/>
      <c r="T38" s="97"/>
      <c r="U38" s="97"/>
      <c r="V38" s="188"/>
      <c r="W38" s="188"/>
      <c r="X38" s="97"/>
      <c r="Y38" s="97"/>
      <c r="Z38" s="188"/>
      <c r="AA38" s="188"/>
      <c r="AB38" s="97"/>
      <c r="AC38" s="97"/>
      <c r="AD38" s="188"/>
      <c r="AE38" s="188"/>
      <c r="AF38" s="97"/>
      <c r="AG38" s="97"/>
      <c r="AH38" s="188"/>
      <c r="AI38" s="188"/>
      <c r="AJ38" s="97"/>
      <c r="AK38" s="97"/>
      <c r="AL38" s="188"/>
      <c r="AM38" s="188"/>
      <c r="AN38" s="97"/>
      <c r="AO38" s="97"/>
      <c r="AP38" s="188"/>
      <c r="AQ38" s="188"/>
      <c r="AR38" s="97"/>
      <c r="AS38" s="97"/>
      <c r="AT38" s="188"/>
      <c r="AU38" s="188"/>
      <c r="AV38" s="97"/>
      <c r="AW38" s="97"/>
      <c r="AX38" s="188"/>
      <c r="AY38" s="188"/>
      <c r="AZ38" s="97"/>
      <c r="BA38" s="97"/>
      <c r="BB38" s="188"/>
      <c r="BC38" s="188"/>
      <c r="BD38" s="97"/>
      <c r="BE38" s="97"/>
      <c r="BF38" s="188"/>
      <c r="BG38" s="188"/>
      <c r="BH38" s="97"/>
      <c r="BI38" s="97"/>
      <c r="BJ38" s="188"/>
      <c r="BK38" s="188"/>
      <c r="BL38" s="180"/>
      <c r="BM38" s="180"/>
      <c r="BN38" s="180"/>
      <c r="BO38" s="180"/>
      <c r="BP38" s="180"/>
      <c r="BQ38" s="180"/>
      <c r="BR38" s="180"/>
      <c r="BS38" s="55" t="s">
        <v>300</v>
      </c>
    </row>
    <row r="39" spans="1:72" ht="25.5">
      <c r="A39" s="71" t="s">
        <v>68</v>
      </c>
      <c r="B39" s="8">
        <f>B1/150</f>
        <v>866.6666666666666</v>
      </c>
      <c r="C39" s="25" t="s">
        <v>66</v>
      </c>
      <c r="D39" s="65">
        <v>1</v>
      </c>
      <c r="E39" s="102">
        <v>300</v>
      </c>
      <c r="F39" s="63">
        <f>E39*D39*B39</f>
        <v>260000</v>
      </c>
      <c r="G39" s="61" t="s">
        <v>138</v>
      </c>
      <c r="H39" s="97"/>
      <c r="I39" s="97"/>
      <c r="J39" s="188">
        <v>12000</v>
      </c>
      <c r="K39" s="188" t="s">
        <v>308</v>
      </c>
      <c r="L39" s="97"/>
      <c r="M39" s="97"/>
      <c r="N39" s="188"/>
      <c r="O39" s="188"/>
      <c r="P39" s="97"/>
      <c r="Q39" s="97"/>
      <c r="R39" s="188"/>
      <c r="S39" s="188"/>
      <c r="T39" s="97"/>
      <c r="U39" s="97"/>
      <c r="V39" s="188"/>
      <c r="W39" s="188"/>
      <c r="X39" s="97"/>
      <c r="Y39" s="97"/>
      <c r="Z39" s="188"/>
      <c r="AA39" s="188"/>
      <c r="AB39" s="97"/>
      <c r="AC39" s="97"/>
      <c r="AD39" s="188"/>
      <c r="AE39" s="188"/>
      <c r="AF39" s="97"/>
      <c r="AG39" s="97"/>
      <c r="AH39" s="188"/>
      <c r="AI39" s="188"/>
      <c r="AJ39" s="97"/>
      <c r="AK39" s="97"/>
      <c r="AL39" s="188"/>
      <c r="AM39" s="188"/>
      <c r="AN39" s="97"/>
      <c r="AO39" s="97"/>
      <c r="AP39" s="188"/>
      <c r="AQ39" s="188"/>
      <c r="AR39" s="97"/>
      <c r="AS39" s="97"/>
      <c r="AT39" s="188"/>
      <c r="AU39" s="188"/>
      <c r="AV39" s="97"/>
      <c r="AW39" s="97"/>
      <c r="AX39" s="188"/>
      <c r="AY39" s="188"/>
      <c r="AZ39" s="97"/>
      <c r="BA39" s="97"/>
      <c r="BB39" s="188"/>
      <c r="BC39" s="188"/>
      <c r="BD39" s="97"/>
      <c r="BE39" s="97"/>
      <c r="BF39" s="188"/>
      <c r="BG39" s="188"/>
      <c r="BH39" s="97"/>
      <c r="BI39" s="97"/>
      <c r="BJ39" s="188"/>
      <c r="BK39" s="188"/>
      <c r="BL39" s="180"/>
      <c r="BM39" s="180"/>
      <c r="BN39" s="180"/>
      <c r="BO39" s="180"/>
      <c r="BP39" s="180"/>
      <c r="BQ39" s="180"/>
      <c r="BR39" s="180"/>
      <c r="BT39" s="55" t="s">
        <v>300</v>
      </c>
    </row>
    <row r="40" spans="1:71" ht="38.25">
      <c r="A40" s="71" t="s">
        <v>43</v>
      </c>
      <c r="B40" s="8">
        <f>B1*13/1000</f>
        <v>1690</v>
      </c>
      <c r="C40" s="25" t="s">
        <v>65</v>
      </c>
      <c r="D40" s="64">
        <f>6*30</f>
        <v>180</v>
      </c>
      <c r="E40" s="102">
        <v>7</v>
      </c>
      <c r="F40" s="63">
        <f t="shared" si="1"/>
        <v>2129400</v>
      </c>
      <c r="G40" s="61" t="s">
        <v>139</v>
      </c>
      <c r="H40" s="97"/>
      <c r="I40" s="97"/>
      <c r="J40" s="188"/>
      <c r="K40" s="188"/>
      <c r="L40" s="97"/>
      <c r="M40" s="97"/>
      <c r="N40" s="188"/>
      <c r="O40" s="188"/>
      <c r="P40" s="97"/>
      <c r="Q40" s="97"/>
      <c r="R40" s="188"/>
      <c r="S40" s="188"/>
      <c r="T40" s="97"/>
      <c r="U40" s="97"/>
      <c r="V40" s="188"/>
      <c r="W40" s="188"/>
      <c r="X40" s="97"/>
      <c r="Y40" s="97"/>
      <c r="Z40" s="188"/>
      <c r="AA40" s="188"/>
      <c r="AB40" s="97"/>
      <c r="AC40" s="97"/>
      <c r="AD40" s="188"/>
      <c r="AE40" s="188"/>
      <c r="AF40" s="97"/>
      <c r="AG40" s="97"/>
      <c r="AH40" s="188"/>
      <c r="AI40" s="188"/>
      <c r="AJ40" s="97"/>
      <c r="AK40" s="97"/>
      <c r="AL40" s="188"/>
      <c r="AM40" s="188"/>
      <c r="AN40" s="97"/>
      <c r="AO40" s="97"/>
      <c r="AP40" s="188"/>
      <c r="AQ40" s="188"/>
      <c r="AR40" s="97"/>
      <c r="AS40" s="97"/>
      <c r="AT40" s="188"/>
      <c r="AU40" s="188"/>
      <c r="AV40" s="97"/>
      <c r="AW40" s="97"/>
      <c r="AX40" s="188"/>
      <c r="AY40" s="188"/>
      <c r="AZ40" s="97"/>
      <c r="BA40" s="97"/>
      <c r="BB40" s="188"/>
      <c r="BC40" s="188"/>
      <c r="BD40" s="97"/>
      <c r="BE40" s="97"/>
      <c r="BF40" s="188"/>
      <c r="BG40" s="188"/>
      <c r="BH40" s="97"/>
      <c r="BI40" s="97"/>
      <c r="BJ40" s="188"/>
      <c r="BK40" s="188"/>
      <c r="BL40" s="180"/>
      <c r="BM40" s="180"/>
      <c r="BN40" s="180"/>
      <c r="BO40" s="180"/>
      <c r="BP40" s="180"/>
      <c r="BQ40" s="180"/>
      <c r="BR40" s="180"/>
      <c r="BS40" s="55" t="s">
        <v>300</v>
      </c>
    </row>
    <row r="41" spans="1:72" ht="25.5">
      <c r="A41" s="11" t="s">
        <v>62</v>
      </c>
      <c r="B41" s="71">
        <v>10</v>
      </c>
      <c r="C41" s="25" t="s">
        <v>66</v>
      </c>
      <c r="D41" s="64">
        <v>1</v>
      </c>
      <c r="E41" s="102">
        <v>5000</v>
      </c>
      <c r="F41" s="63">
        <f t="shared" si="1"/>
        <v>50000</v>
      </c>
      <c r="G41" s="61"/>
      <c r="H41" s="97"/>
      <c r="I41" s="97"/>
      <c r="J41" s="188"/>
      <c r="K41" s="188"/>
      <c r="L41" s="97"/>
      <c r="M41" s="97"/>
      <c r="N41" s="188"/>
      <c r="O41" s="188"/>
      <c r="P41" s="97"/>
      <c r="Q41" s="97"/>
      <c r="R41" s="188"/>
      <c r="S41" s="188"/>
      <c r="T41" s="97"/>
      <c r="U41" s="97"/>
      <c r="V41" s="188"/>
      <c r="W41" s="188"/>
      <c r="X41" s="97"/>
      <c r="Y41" s="97"/>
      <c r="Z41" s="188"/>
      <c r="AA41" s="188"/>
      <c r="AB41" s="97"/>
      <c r="AC41" s="97"/>
      <c r="AD41" s="188"/>
      <c r="AE41" s="188"/>
      <c r="AF41" s="97"/>
      <c r="AG41" s="97"/>
      <c r="AH41" s="188"/>
      <c r="AI41" s="188"/>
      <c r="AJ41" s="97"/>
      <c r="AK41" s="97"/>
      <c r="AL41" s="188"/>
      <c r="AM41" s="188"/>
      <c r="AN41" s="97"/>
      <c r="AO41" s="97"/>
      <c r="AP41" s="188"/>
      <c r="AQ41" s="188"/>
      <c r="AR41" s="97"/>
      <c r="AS41" s="97"/>
      <c r="AT41" s="188"/>
      <c r="AU41" s="188"/>
      <c r="AV41" s="97"/>
      <c r="AW41" s="97"/>
      <c r="AX41" s="188"/>
      <c r="AY41" s="188"/>
      <c r="AZ41" s="97"/>
      <c r="BA41" s="97"/>
      <c r="BB41" s="188"/>
      <c r="BC41" s="188"/>
      <c r="BD41" s="97"/>
      <c r="BE41" s="97"/>
      <c r="BF41" s="188"/>
      <c r="BG41" s="188"/>
      <c r="BH41" s="97"/>
      <c r="BI41" s="97"/>
      <c r="BJ41" s="188"/>
      <c r="BK41" s="188"/>
      <c r="BL41" s="180"/>
      <c r="BM41" s="180"/>
      <c r="BN41" s="180"/>
      <c r="BO41" s="180"/>
      <c r="BP41" s="180"/>
      <c r="BQ41" s="180"/>
      <c r="BR41" s="180"/>
      <c r="BT41" s="55" t="s">
        <v>300</v>
      </c>
    </row>
    <row r="42" spans="1:70" ht="38.25" hidden="1">
      <c r="A42" s="71" t="s">
        <v>63</v>
      </c>
      <c r="B42" s="8">
        <v>2</v>
      </c>
      <c r="C42" s="25" t="s">
        <v>66</v>
      </c>
      <c r="D42" s="65">
        <v>1</v>
      </c>
      <c r="E42" s="38">
        <v>2000000</v>
      </c>
      <c r="F42" s="66"/>
      <c r="G42" s="61" t="s">
        <v>144</v>
      </c>
      <c r="H42" s="97"/>
      <c r="I42" s="97"/>
      <c r="J42" s="188"/>
      <c r="K42" s="188"/>
      <c r="L42" s="97"/>
      <c r="M42" s="97"/>
      <c r="N42" s="188"/>
      <c r="O42" s="188"/>
      <c r="P42" s="97"/>
      <c r="Q42" s="97"/>
      <c r="R42" s="188"/>
      <c r="S42" s="188"/>
      <c r="T42" s="97"/>
      <c r="U42" s="97"/>
      <c r="V42" s="188"/>
      <c r="W42" s="188"/>
      <c r="X42" s="97"/>
      <c r="Y42" s="97"/>
      <c r="Z42" s="188"/>
      <c r="AA42" s="188"/>
      <c r="AB42" s="97"/>
      <c r="AC42" s="97"/>
      <c r="AD42" s="188"/>
      <c r="AE42" s="188"/>
      <c r="AF42" s="97"/>
      <c r="AG42" s="97"/>
      <c r="AH42" s="188"/>
      <c r="AI42" s="188"/>
      <c r="AJ42" s="97"/>
      <c r="AK42" s="97"/>
      <c r="AL42" s="188"/>
      <c r="AM42" s="188"/>
      <c r="AN42" s="97"/>
      <c r="AO42" s="97"/>
      <c r="AP42" s="188"/>
      <c r="AQ42" s="188"/>
      <c r="AR42" s="97"/>
      <c r="AS42" s="97"/>
      <c r="AT42" s="188"/>
      <c r="AU42" s="188"/>
      <c r="AV42" s="97"/>
      <c r="AW42" s="97"/>
      <c r="AX42" s="188"/>
      <c r="AY42" s="188"/>
      <c r="AZ42" s="97"/>
      <c r="BA42" s="97"/>
      <c r="BB42" s="188"/>
      <c r="BC42" s="188"/>
      <c r="BD42" s="97"/>
      <c r="BE42" s="97"/>
      <c r="BF42" s="188"/>
      <c r="BG42" s="188"/>
      <c r="BH42" s="97"/>
      <c r="BI42" s="97"/>
      <c r="BJ42" s="188"/>
      <c r="BK42" s="188"/>
      <c r="BL42" s="180"/>
      <c r="BM42" s="180"/>
      <c r="BN42" s="180"/>
      <c r="BO42" s="180"/>
      <c r="BP42" s="180"/>
      <c r="BQ42" s="180"/>
      <c r="BR42" s="180"/>
    </row>
    <row r="43" spans="1:70" ht="12.75" hidden="1">
      <c r="A43" s="71" t="s">
        <v>92</v>
      </c>
      <c r="B43" s="8">
        <v>15</v>
      </c>
      <c r="C43" s="25" t="s">
        <v>66</v>
      </c>
      <c r="D43" s="65">
        <v>1</v>
      </c>
      <c r="E43" s="38">
        <v>100000</v>
      </c>
      <c r="F43" s="66"/>
      <c r="G43" s="61" t="s">
        <v>143</v>
      </c>
      <c r="H43" s="97"/>
      <c r="I43" s="97"/>
      <c r="J43" s="188"/>
      <c r="K43" s="188"/>
      <c r="L43" s="97"/>
      <c r="M43" s="97"/>
      <c r="N43" s="188"/>
      <c r="O43" s="188"/>
      <c r="P43" s="97"/>
      <c r="Q43" s="97"/>
      <c r="R43" s="188"/>
      <c r="S43" s="188"/>
      <c r="T43" s="97"/>
      <c r="U43" s="97"/>
      <c r="V43" s="188"/>
      <c r="W43" s="188"/>
      <c r="X43" s="97"/>
      <c r="Y43" s="97"/>
      <c r="Z43" s="188"/>
      <c r="AA43" s="188"/>
      <c r="AB43" s="97"/>
      <c r="AC43" s="97"/>
      <c r="AD43" s="188"/>
      <c r="AE43" s="188"/>
      <c r="AF43" s="97"/>
      <c r="AG43" s="97"/>
      <c r="AH43" s="188"/>
      <c r="AI43" s="188"/>
      <c r="AJ43" s="97"/>
      <c r="AK43" s="97"/>
      <c r="AL43" s="188"/>
      <c r="AM43" s="188"/>
      <c r="AN43" s="97"/>
      <c r="AO43" s="97"/>
      <c r="AP43" s="188"/>
      <c r="AQ43" s="188"/>
      <c r="AR43" s="97"/>
      <c r="AS43" s="97"/>
      <c r="AT43" s="188"/>
      <c r="AU43" s="188"/>
      <c r="AV43" s="97"/>
      <c r="AW43" s="97"/>
      <c r="AX43" s="188"/>
      <c r="AY43" s="188"/>
      <c r="AZ43" s="97"/>
      <c r="BA43" s="97"/>
      <c r="BB43" s="188"/>
      <c r="BC43" s="188"/>
      <c r="BD43" s="97"/>
      <c r="BE43" s="97"/>
      <c r="BF43" s="188"/>
      <c r="BG43" s="188"/>
      <c r="BH43" s="97"/>
      <c r="BI43" s="97"/>
      <c r="BJ43" s="188"/>
      <c r="BK43" s="188"/>
      <c r="BL43" s="180"/>
      <c r="BM43" s="180"/>
      <c r="BN43" s="180"/>
      <c r="BO43" s="180"/>
      <c r="BP43" s="180"/>
      <c r="BQ43" s="180"/>
      <c r="BR43" s="180"/>
    </row>
    <row r="44" spans="1:11" s="62" customFormat="1" ht="51">
      <c r="A44" s="101" t="s">
        <v>327</v>
      </c>
      <c r="B44" s="8">
        <v>210</v>
      </c>
      <c r="C44" s="25" t="s">
        <v>0</v>
      </c>
      <c r="D44" s="65">
        <v>1</v>
      </c>
      <c r="E44" s="38">
        <v>595</v>
      </c>
      <c r="F44" s="216">
        <f>ROUNDUP(B44*D44*E44,-3)</f>
        <v>125000</v>
      </c>
      <c r="G44" s="97"/>
      <c r="H44" s="217" t="s">
        <v>329</v>
      </c>
      <c r="I44" s="217"/>
      <c r="J44" s="218">
        <v>125000</v>
      </c>
      <c r="K44" s="97" t="s">
        <v>328</v>
      </c>
    </row>
    <row r="45" spans="1:70" s="184" customFormat="1" ht="12.75">
      <c r="A45" s="11" t="s">
        <v>370</v>
      </c>
      <c r="B45" s="8"/>
      <c r="C45" s="25"/>
      <c r="D45" s="65"/>
      <c r="E45" s="290"/>
      <c r="F45" s="66"/>
      <c r="G45" s="61"/>
      <c r="H45" s="97"/>
      <c r="I45" s="97"/>
      <c r="J45" s="97"/>
      <c r="K45" s="97"/>
      <c r="L45" s="97" t="s">
        <v>369</v>
      </c>
      <c r="M45" s="217">
        <v>120000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180"/>
      <c r="BM45" s="180"/>
      <c r="BN45" s="180"/>
      <c r="BO45" s="180"/>
      <c r="BP45" s="180"/>
      <c r="BQ45" s="180"/>
      <c r="BR45" s="180"/>
    </row>
    <row r="46" spans="1:70" s="184" customFormat="1" ht="76.5">
      <c r="A46" s="101" t="s">
        <v>371</v>
      </c>
      <c r="B46" s="120">
        <v>1</v>
      </c>
      <c r="C46" s="291" t="s">
        <v>119</v>
      </c>
      <c r="D46" s="211">
        <v>1</v>
      </c>
      <c r="E46" s="292">
        <v>1600000</v>
      </c>
      <c r="F46" s="216">
        <f>ROUNDUP(B46*D46*E46,-3)</f>
        <v>1600000</v>
      </c>
      <c r="G46" s="125" t="s">
        <v>403</v>
      </c>
      <c r="H46" s="126"/>
      <c r="I46" s="97"/>
      <c r="J46" s="97"/>
      <c r="K46" s="97"/>
      <c r="L46" s="126" t="s">
        <v>373</v>
      </c>
      <c r="M46" s="97">
        <v>360000</v>
      </c>
      <c r="N46" s="97"/>
      <c r="O46" s="97" t="s">
        <v>374</v>
      </c>
      <c r="P46" s="126"/>
      <c r="Q46" s="97"/>
      <c r="R46" s="97"/>
      <c r="S46" s="97"/>
      <c r="T46" s="126"/>
      <c r="U46" s="97"/>
      <c r="V46" s="97"/>
      <c r="W46" s="97"/>
      <c r="X46" s="126"/>
      <c r="Y46" s="97"/>
      <c r="Z46" s="97"/>
      <c r="AA46" s="97"/>
      <c r="AB46" s="126"/>
      <c r="AC46" s="97"/>
      <c r="AD46" s="97"/>
      <c r="AE46" s="97"/>
      <c r="AF46" s="126"/>
      <c r="AG46" s="97"/>
      <c r="AH46" s="97"/>
      <c r="AI46" s="97"/>
      <c r="AJ46" s="126"/>
      <c r="AK46" s="97"/>
      <c r="AL46" s="97"/>
      <c r="AM46" s="97"/>
      <c r="AN46" s="126"/>
      <c r="AO46" s="97"/>
      <c r="AP46" s="97"/>
      <c r="AQ46" s="97"/>
      <c r="AR46" s="126"/>
      <c r="AS46" s="97"/>
      <c r="AT46" s="97"/>
      <c r="AU46" s="97"/>
      <c r="AV46" s="126"/>
      <c r="AW46" s="97"/>
      <c r="AX46" s="97"/>
      <c r="AY46" s="97"/>
      <c r="AZ46" s="126"/>
      <c r="BA46" s="97"/>
      <c r="BB46" s="97"/>
      <c r="BC46" s="97"/>
      <c r="BD46" s="126"/>
      <c r="BE46" s="97"/>
      <c r="BF46" s="97"/>
      <c r="BG46" s="97"/>
      <c r="BH46" s="126"/>
      <c r="BI46" s="97"/>
      <c r="BJ46" s="97"/>
      <c r="BK46" s="97"/>
      <c r="BL46" s="180"/>
      <c r="BM46" s="180"/>
      <c r="BN46" s="180"/>
      <c r="BO46" s="180"/>
      <c r="BP46" s="180"/>
      <c r="BQ46" s="180"/>
      <c r="BR46" s="180"/>
    </row>
    <row r="47" spans="1:70" s="184" customFormat="1" ht="38.25">
      <c r="A47" s="293" t="s">
        <v>372</v>
      </c>
      <c r="B47" s="120">
        <v>1</v>
      </c>
      <c r="C47" s="291" t="s">
        <v>119</v>
      </c>
      <c r="D47" s="211">
        <v>3</v>
      </c>
      <c r="E47" s="292">
        <v>100000</v>
      </c>
      <c r="F47" s="216">
        <f>ROUNDUP(B47*D47*E47,-3)</f>
        <v>300000</v>
      </c>
      <c r="G47" s="125" t="s">
        <v>404</v>
      </c>
      <c r="H47" s="126"/>
      <c r="I47" s="97"/>
      <c r="J47" s="97"/>
      <c r="K47" s="97"/>
      <c r="L47" s="126" t="s">
        <v>375</v>
      </c>
      <c r="M47" s="217">
        <v>14640</v>
      </c>
      <c r="N47" s="97"/>
      <c r="O47" s="97"/>
      <c r="P47" s="126"/>
      <c r="Q47" s="97"/>
      <c r="R47" s="97"/>
      <c r="S47" s="97"/>
      <c r="T47" s="126"/>
      <c r="U47" s="97"/>
      <c r="V47" s="97"/>
      <c r="W47" s="97"/>
      <c r="X47" s="126"/>
      <c r="Y47" s="97"/>
      <c r="Z47" s="97"/>
      <c r="AA47" s="97"/>
      <c r="AB47" s="126"/>
      <c r="AC47" s="97"/>
      <c r="AD47" s="97"/>
      <c r="AE47" s="97"/>
      <c r="AF47" s="126"/>
      <c r="AG47" s="97"/>
      <c r="AH47" s="97"/>
      <c r="AI47" s="97"/>
      <c r="AJ47" s="126"/>
      <c r="AK47" s="97"/>
      <c r="AL47" s="97"/>
      <c r="AM47" s="97"/>
      <c r="AN47" s="126"/>
      <c r="AO47" s="97"/>
      <c r="AP47" s="97"/>
      <c r="AQ47" s="97"/>
      <c r="AR47" s="126"/>
      <c r="AS47" s="97"/>
      <c r="AT47" s="97"/>
      <c r="AU47" s="97"/>
      <c r="AV47" s="126"/>
      <c r="AW47" s="97"/>
      <c r="AX47" s="97"/>
      <c r="AY47" s="97"/>
      <c r="AZ47" s="126"/>
      <c r="BA47" s="97"/>
      <c r="BB47" s="97"/>
      <c r="BC47" s="97"/>
      <c r="BD47" s="126"/>
      <c r="BE47" s="97"/>
      <c r="BF47" s="97"/>
      <c r="BG47" s="97"/>
      <c r="BH47" s="126"/>
      <c r="BI47" s="97"/>
      <c r="BJ47" s="97"/>
      <c r="BK47" s="97"/>
      <c r="BL47" s="180"/>
      <c r="BM47" s="180"/>
      <c r="BN47" s="180"/>
      <c r="BO47" s="180"/>
      <c r="BP47" s="180"/>
      <c r="BQ47" s="180"/>
      <c r="BR47" s="180"/>
    </row>
    <row r="48" spans="1:70" ht="12.75">
      <c r="A48" s="11"/>
      <c r="B48" s="8"/>
      <c r="C48" s="25"/>
      <c r="D48" s="64"/>
      <c r="E48" s="29"/>
      <c r="F48" s="63">
        <f t="shared" si="1"/>
        <v>0</v>
      </c>
      <c r="G48" s="61"/>
      <c r="H48" s="97"/>
      <c r="I48" s="97"/>
      <c r="J48" s="188"/>
      <c r="K48" s="188"/>
      <c r="L48" s="97"/>
      <c r="M48" s="97"/>
      <c r="N48" s="188"/>
      <c r="O48" s="188"/>
      <c r="P48" s="97"/>
      <c r="Q48" s="97"/>
      <c r="R48" s="188"/>
      <c r="S48" s="188"/>
      <c r="T48" s="97"/>
      <c r="U48" s="97"/>
      <c r="V48" s="188"/>
      <c r="W48" s="188"/>
      <c r="X48" s="97"/>
      <c r="Y48" s="97"/>
      <c r="Z48" s="188"/>
      <c r="AA48" s="188"/>
      <c r="AB48" s="97"/>
      <c r="AC48" s="97"/>
      <c r="AD48" s="188"/>
      <c r="AE48" s="188"/>
      <c r="AF48" s="97"/>
      <c r="AG48" s="97"/>
      <c r="AH48" s="188"/>
      <c r="AI48" s="188"/>
      <c r="AJ48" s="97"/>
      <c r="AK48" s="97"/>
      <c r="AL48" s="188"/>
      <c r="AM48" s="188"/>
      <c r="AN48" s="97"/>
      <c r="AO48" s="97"/>
      <c r="AP48" s="188"/>
      <c r="AQ48" s="188"/>
      <c r="AR48" s="97"/>
      <c r="AS48" s="97"/>
      <c r="AT48" s="188"/>
      <c r="AU48" s="188"/>
      <c r="AV48" s="97"/>
      <c r="AW48" s="97"/>
      <c r="AX48" s="188"/>
      <c r="AY48" s="188"/>
      <c r="AZ48" s="97"/>
      <c r="BA48" s="97"/>
      <c r="BB48" s="188"/>
      <c r="BC48" s="188"/>
      <c r="BD48" s="97"/>
      <c r="BE48" s="97"/>
      <c r="BF48" s="188"/>
      <c r="BG48" s="188"/>
      <c r="BH48" s="97"/>
      <c r="BI48" s="97"/>
      <c r="BJ48" s="188"/>
      <c r="BK48" s="188"/>
      <c r="BL48" s="180"/>
      <c r="BM48" s="180"/>
      <c r="BN48" s="180"/>
      <c r="BO48" s="180"/>
      <c r="BP48" s="180"/>
      <c r="BQ48" s="180"/>
      <c r="BR48" s="180"/>
    </row>
    <row r="49" spans="1:70" ht="12.75">
      <c r="A49" s="119"/>
      <c r="B49" s="120"/>
      <c r="C49" s="120"/>
      <c r="D49" s="122"/>
      <c r="E49" s="131">
        <v>0</v>
      </c>
      <c r="F49" s="124">
        <f t="shared" si="1"/>
        <v>0</v>
      </c>
      <c r="G49" s="125"/>
      <c r="H49" s="126"/>
      <c r="I49" s="97"/>
      <c r="J49" s="188"/>
      <c r="K49" s="188"/>
      <c r="L49" s="126"/>
      <c r="M49" s="97"/>
      <c r="N49" s="188"/>
      <c r="O49" s="188"/>
      <c r="P49" s="126"/>
      <c r="Q49" s="97"/>
      <c r="R49" s="188"/>
      <c r="S49" s="188"/>
      <c r="T49" s="126"/>
      <c r="U49" s="97"/>
      <c r="V49" s="188"/>
      <c r="W49" s="188"/>
      <c r="X49" s="126"/>
      <c r="Y49" s="97"/>
      <c r="Z49" s="188"/>
      <c r="AA49" s="188"/>
      <c r="AB49" s="126"/>
      <c r="AC49" s="97"/>
      <c r="AD49" s="188"/>
      <c r="AE49" s="188"/>
      <c r="AF49" s="126"/>
      <c r="AG49" s="97"/>
      <c r="AH49" s="188"/>
      <c r="AI49" s="188"/>
      <c r="AJ49" s="126"/>
      <c r="AK49" s="97"/>
      <c r="AL49" s="188"/>
      <c r="AM49" s="188"/>
      <c r="AN49" s="126"/>
      <c r="AO49" s="97"/>
      <c r="AP49" s="188"/>
      <c r="AQ49" s="188"/>
      <c r="AR49" s="126"/>
      <c r="AS49" s="97"/>
      <c r="AT49" s="188"/>
      <c r="AU49" s="188"/>
      <c r="AV49" s="126"/>
      <c r="AW49" s="97"/>
      <c r="AX49" s="188"/>
      <c r="AY49" s="188"/>
      <c r="AZ49" s="126"/>
      <c r="BA49" s="97"/>
      <c r="BB49" s="188"/>
      <c r="BC49" s="188"/>
      <c r="BD49" s="126"/>
      <c r="BE49" s="97"/>
      <c r="BF49" s="188"/>
      <c r="BG49" s="188"/>
      <c r="BH49" s="126"/>
      <c r="BI49" s="97"/>
      <c r="BJ49" s="188"/>
      <c r="BK49" s="188"/>
      <c r="BL49" s="180"/>
      <c r="BM49" s="180"/>
      <c r="BN49" s="180"/>
      <c r="BO49" s="180"/>
      <c r="BP49" s="180"/>
      <c r="BQ49" s="180"/>
      <c r="BR49" s="180"/>
    </row>
    <row r="50" spans="1:70" ht="12.75">
      <c r="A50" s="132" t="s">
        <v>45</v>
      </c>
      <c r="B50" s="109"/>
      <c r="C50" s="103"/>
      <c r="D50" s="104"/>
      <c r="E50" s="130">
        <v>0</v>
      </c>
      <c r="F50" s="58">
        <f>SUM(F51:F66)</f>
        <v>1617033.3333333335</v>
      </c>
      <c r="G50" s="103"/>
      <c r="H50" s="103"/>
      <c r="I50" s="103"/>
      <c r="J50" s="58">
        <f>SUM(J51:J66)</f>
        <v>289275</v>
      </c>
      <c r="K50" s="192"/>
      <c r="L50" s="103"/>
      <c r="M50" s="58">
        <f>SUM(M51:M66)</f>
        <v>126595</v>
      </c>
      <c r="N50" s="58">
        <f>SUM(N51:N66)</f>
        <v>0</v>
      </c>
      <c r="O50" s="192"/>
      <c r="P50" s="103"/>
      <c r="Q50" s="103"/>
      <c r="R50" s="58">
        <f>SUM(R51:R66)</f>
        <v>0</v>
      </c>
      <c r="S50" s="192"/>
      <c r="T50" s="103"/>
      <c r="U50" s="103"/>
      <c r="V50" s="58">
        <f>SUM(V51:V66)</f>
        <v>0</v>
      </c>
      <c r="W50" s="192"/>
      <c r="X50" s="103"/>
      <c r="Y50" s="103"/>
      <c r="Z50" s="58">
        <f>SUM(Z51:Z66)</f>
        <v>0</v>
      </c>
      <c r="AA50" s="192"/>
      <c r="AB50" s="103"/>
      <c r="AC50" s="103"/>
      <c r="AD50" s="58">
        <f>SUM(AD51:AD66)</f>
        <v>0</v>
      </c>
      <c r="AE50" s="192"/>
      <c r="AF50" s="103"/>
      <c r="AG50" s="103"/>
      <c r="AH50" s="58">
        <f>SUM(AH51:AH66)</f>
        <v>0</v>
      </c>
      <c r="AI50" s="192"/>
      <c r="AJ50" s="103"/>
      <c r="AK50" s="103"/>
      <c r="AL50" s="58">
        <f>SUM(AL51:AL66)</f>
        <v>0</v>
      </c>
      <c r="AM50" s="192"/>
      <c r="AN50" s="103"/>
      <c r="AO50" s="103"/>
      <c r="AP50" s="58">
        <f>SUM(AP51:AP66)</f>
        <v>0</v>
      </c>
      <c r="AQ50" s="192"/>
      <c r="AR50" s="103"/>
      <c r="AS50" s="103"/>
      <c r="AT50" s="58">
        <f>SUM(AT51:AT66)</f>
        <v>0</v>
      </c>
      <c r="AU50" s="192"/>
      <c r="AV50" s="103"/>
      <c r="AW50" s="103"/>
      <c r="AX50" s="58">
        <f>SUM(AX51:AX66)</f>
        <v>0</v>
      </c>
      <c r="AY50" s="192"/>
      <c r="AZ50" s="103"/>
      <c r="BA50" s="103"/>
      <c r="BB50" s="58">
        <f>SUM(BB51:BB66)</f>
        <v>0</v>
      </c>
      <c r="BC50" s="192"/>
      <c r="BD50" s="103"/>
      <c r="BE50" s="103"/>
      <c r="BF50" s="58">
        <f>SUM(BF51:BF66)</f>
        <v>0</v>
      </c>
      <c r="BG50" s="192"/>
      <c r="BH50" s="103"/>
      <c r="BI50" s="103"/>
      <c r="BJ50" s="58">
        <f>SUM(BJ51:BJ66)</f>
        <v>0</v>
      </c>
      <c r="BK50" s="192"/>
      <c r="BL50" s="181"/>
      <c r="BM50" s="181"/>
      <c r="BN50" s="181"/>
      <c r="BO50" s="181"/>
      <c r="BP50" s="181"/>
      <c r="BQ50" s="181"/>
      <c r="BR50" s="181"/>
    </row>
    <row r="51" spans="1:72" ht="25.5">
      <c r="A51" s="100" t="s">
        <v>338</v>
      </c>
      <c r="B51" s="19">
        <f>B1/F2</f>
        <v>26000</v>
      </c>
      <c r="C51" s="19" t="s">
        <v>8</v>
      </c>
      <c r="D51" s="59">
        <v>1</v>
      </c>
      <c r="E51" s="28">
        <v>12</v>
      </c>
      <c r="F51" s="60">
        <f>E51*D51*B51</f>
        <v>312000</v>
      </c>
      <c r="G51" s="108" t="s">
        <v>339</v>
      </c>
      <c r="H51" s="128"/>
      <c r="I51" s="97"/>
      <c r="J51" s="188"/>
      <c r="K51" s="188"/>
      <c r="L51" s="128"/>
      <c r="M51" s="97"/>
      <c r="N51" s="188"/>
      <c r="O51" s="188"/>
      <c r="P51" s="128"/>
      <c r="Q51" s="97"/>
      <c r="R51" s="188"/>
      <c r="S51" s="188"/>
      <c r="T51" s="128"/>
      <c r="U51" s="97"/>
      <c r="V51" s="188"/>
      <c r="W51" s="188"/>
      <c r="X51" s="128"/>
      <c r="Y51" s="97"/>
      <c r="Z51" s="188"/>
      <c r="AA51" s="188"/>
      <c r="AB51" s="128"/>
      <c r="AC51" s="97"/>
      <c r="AD51" s="188"/>
      <c r="AE51" s="188"/>
      <c r="AF51" s="128"/>
      <c r="AG51" s="97"/>
      <c r="AH51" s="188"/>
      <c r="AI51" s="188"/>
      <c r="AJ51" s="128"/>
      <c r="AK51" s="97"/>
      <c r="AL51" s="188"/>
      <c r="AM51" s="188"/>
      <c r="AN51" s="128"/>
      <c r="AO51" s="97"/>
      <c r="AP51" s="188"/>
      <c r="AQ51" s="188"/>
      <c r="AR51" s="128"/>
      <c r="AS51" s="97"/>
      <c r="AT51" s="188"/>
      <c r="AU51" s="188"/>
      <c r="AV51" s="128"/>
      <c r="AW51" s="97"/>
      <c r="AX51" s="188"/>
      <c r="AY51" s="188"/>
      <c r="AZ51" s="128"/>
      <c r="BA51" s="97"/>
      <c r="BB51" s="188"/>
      <c r="BC51" s="188"/>
      <c r="BD51" s="128"/>
      <c r="BE51" s="97"/>
      <c r="BF51" s="188"/>
      <c r="BG51" s="188"/>
      <c r="BH51" s="128"/>
      <c r="BI51" s="97"/>
      <c r="BJ51" s="188"/>
      <c r="BK51" s="188"/>
      <c r="BL51" s="180"/>
      <c r="BM51" s="180"/>
      <c r="BN51" s="180"/>
      <c r="BO51" s="180"/>
      <c r="BP51" s="180"/>
      <c r="BQ51" s="180"/>
      <c r="BR51" s="180"/>
      <c r="BT51" s="55" t="s">
        <v>300</v>
      </c>
    </row>
    <row r="52" spans="1:71" ht="12.75">
      <c r="A52" s="11" t="s">
        <v>71</v>
      </c>
      <c r="B52" s="8">
        <f>B1*2</f>
        <v>260000</v>
      </c>
      <c r="C52" s="8" t="s">
        <v>93</v>
      </c>
      <c r="D52" s="64">
        <v>5</v>
      </c>
      <c r="E52" s="29">
        <v>0.5</v>
      </c>
      <c r="F52" s="63">
        <f>E52*D52*B52</f>
        <v>650000</v>
      </c>
      <c r="G52" s="61" t="s">
        <v>76</v>
      </c>
      <c r="H52" s="97"/>
      <c r="I52" s="61"/>
      <c r="J52" s="197">
        <v>87500</v>
      </c>
      <c r="K52" s="197" t="s">
        <v>305</v>
      </c>
      <c r="L52" s="196"/>
      <c r="M52" s="97"/>
      <c r="N52" s="193"/>
      <c r="O52" s="194"/>
      <c r="P52" s="97"/>
      <c r="Q52" s="97"/>
      <c r="R52" s="193"/>
      <c r="S52" s="194"/>
      <c r="T52" s="97"/>
      <c r="U52" s="97"/>
      <c r="V52" s="193"/>
      <c r="W52" s="194"/>
      <c r="X52" s="97"/>
      <c r="Y52" s="97"/>
      <c r="Z52" s="193"/>
      <c r="AA52" s="194"/>
      <c r="AB52" s="97"/>
      <c r="AC52" s="97"/>
      <c r="AD52" s="193"/>
      <c r="AE52" s="194"/>
      <c r="AF52" s="97"/>
      <c r="AG52" s="97"/>
      <c r="AH52" s="193"/>
      <c r="AI52" s="194"/>
      <c r="AJ52" s="97"/>
      <c r="AK52" s="97"/>
      <c r="AL52" s="193"/>
      <c r="AM52" s="194"/>
      <c r="AN52" s="97"/>
      <c r="AO52" s="97"/>
      <c r="AP52" s="193"/>
      <c r="AQ52" s="194"/>
      <c r="AR52" s="97"/>
      <c r="AS52" s="97"/>
      <c r="AT52" s="193"/>
      <c r="AU52" s="194"/>
      <c r="AV52" s="97"/>
      <c r="AW52" s="97"/>
      <c r="AX52" s="193"/>
      <c r="AY52" s="194"/>
      <c r="AZ52" s="97"/>
      <c r="BA52" s="97"/>
      <c r="BB52" s="193"/>
      <c r="BC52" s="194"/>
      <c r="BD52" s="97"/>
      <c r="BE52" s="97"/>
      <c r="BF52" s="193"/>
      <c r="BG52" s="194"/>
      <c r="BH52" s="97"/>
      <c r="BI52" s="97"/>
      <c r="BJ52" s="193"/>
      <c r="BK52" s="194"/>
      <c r="BL52" s="180"/>
      <c r="BM52" s="180"/>
      <c r="BN52" s="180"/>
      <c r="BO52" s="180"/>
      <c r="BP52" s="180"/>
      <c r="BQ52" s="180"/>
      <c r="BR52" s="180"/>
      <c r="BS52" s="55" t="s">
        <v>300</v>
      </c>
    </row>
    <row r="53" spans="1:71" ht="12.75">
      <c r="A53" s="11" t="s">
        <v>140</v>
      </c>
      <c r="B53" s="8">
        <f>B1/F2</f>
        <v>26000</v>
      </c>
      <c r="C53" s="9" t="s">
        <v>8</v>
      </c>
      <c r="D53" s="65">
        <v>6</v>
      </c>
      <c r="E53" s="38">
        <v>10</v>
      </c>
      <c r="F53" s="63"/>
      <c r="G53" s="61" t="s">
        <v>336</v>
      </c>
      <c r="H53" s="97"/>
      <c r="I53" s="61"/>
      <c r="J53" s="197">
        <v>70000</v>
      </c>
      <c r="K53" s="197" t="s">
        <v>306</v>
      </c>
      <c r="L53" s="196"/>
      <c r="M53" s="97"/>
      <c r="N53" s="193"/>
      <c r="O53" s="194"/>
      <c r="P53" s="97"/>
      <c r="Q53" s="97"/>
      <c r="R53" s="193"/>
      <c r="S53" s="194"/>
      <c r="T53" s="97"/>
      <c r="U53" s="97"/>
      <c r="V53" s="193"/>
      <c r="W53" s="194"/>
      <c r="X53" s="97"/>
      <c r="Y53" s="97"/>
      <c r="Z53" s="193"/>
      <c r="AA53" s="194"/>
      <c r="AB53" s="97"/>
      <c r="AC53" s="97"/>
      <c r="AD53" s="193"/>
      <c r="AE53" s="194"/>
      <c r="AF53" s="97"/>
      <c r="AG53" s="97"/>
      <c r="AH53" s="193"/>
      <c r="AI53" s="194"/>
      <c r="AJ53" s="97"/>
      <c r="AK53" s="97"/>
      <c r="AL53" s="193"/>
      <c r="AM53" s="194"/>
      <c r="AN53" s="97"/>
      <c r="AO53" s="97"/>
      <c r="AP53" s="193"/>
      <c r="AQ53" s="194"/>
      <c r="AR53" s="97"/>
      <c r="AS53" s="97"/>
      <c r="AT53" s="193"/>
      <c r="AU53" s="194"/>
      <c r="AV53" s="97"/>
      <c r="AW53" s="97"/>
      <c r="AX53" s="193"/>
      <c r="AY53" s="194"/>
      <c r="AZ53" s="97"/>
      <c r="BA53" s="97"/>
      <c r="BB53" s="193"/>
      <c r="BC53" s="194"/>
      <c r="BD53" s="97"/>
      <c r="BE53" s="97"/>
      <c r="BF53" s="193"/>
      <c r="BG53" s="194"/>
      <c r="BH53" s="97"/>
      <c r="BI53" s="97"/>
      <c r="BJ53" s="193"/>
      <c r="BK53" s="194"/>
      <c r="BL53" s="180"/>
      <c r="BM53" s="180"/>
      <c r="BN53" s="180"/>
      <c r="BO53" s="180"/>
      <c r="BP53" s="180"/>
      <c r="BQ53" s="180"/>
      <c r="BR53" s="180"/>
      <c r="BS53" s="55" t="s">
        <v>300</v>
      </c>
    </row>
    <row r="54" spans="1:71" ht="25.5">
      <c r="A54" s="11" t="s">
        <v>73</v>
      </c>
      <c r="B54" s="8">
        <f>B1/F2/3</f>
        <v>8666.666666666666</v>
      </c>
      <c r="C54" s="9" t="s">
        <v>70</v>
      </c>
      <c r="D54" s="65">
        <v>6</v>
      </c>
      <c r="E54" s="38">
        <v>10</v>
      </c>
      <c r="F54" s="63"/>
      <c r="G54" s="61" t="s">
        <v>337</v>
      </c>
      <c r="H54" s="97"/>
      <c r="I54" s="61"/>
      <c r="J54" s="197"/>
      <c r="K54" s="197" t="s">
        <v>307</v>
      </c>
      <c r="L54" s="196"/>
      <c r="M54" s="97"/>
      <c r="N54" s="193"/>
      <c r="O54" s="194"/>
      <c r="P54" s="97"/>
      <c r="Q54" s="97"/>
      <c r="R54" s="193"/>
      <c r="S54" s="194"/>
      <c r="T54" s="97"/>
      <c r="U54" s="97"/>
      <c r="V54" s="193"/>
      <c r="W54" s="194"/>
      <c r="X54" s="97"/>
      <c r="Y54" s="97"/>
      <c r="Z54" s="193"/>
      <c r="AA54" s="194"/>
      <c r="AB54" s="97"/>
      <c r="AC54" s="97"/>
      <c r="AD54" s="193"/>
      <c r="AE54" s="194"/>
      <c r="AF54" s="97"/>
      <c r="AG54" s="97"/>
      <c r="AH54" s="193"/>
      <c r="AI54" s="194"/>
      <c r="AJ54" s="97"/>
      <c r="AK54" s="97"/>
      <c r="AL54" s="193"/>
      <c r="AM54" s="194"/>
      <c r="AN54" s="97"/>
      <c r="AO54" s="97"/>
      <c r="AP54" s="193"/>
      <c r="AQ54" s="194"/>
      <c r="AR54" s="97"/>
      <c r="AS54" s="97"/>
      <c r="AT54" s="193"/>
      <c r="AU54" s="194"/>
      <c r="AV54" s="97"/>
      <c r="AW54" s="97"/>
      <c r="AX54" s="193"/>
      <c r="AY54" s="194"/>
      <c r="AZ54" s="97"/>
      <c r="BA54" s="97"/>
      <c r="BB54" s="193"/>
      <c r="BC54" s="194"/>
      <c r="BD54" s="97"/>
      <c r="BE54" s="97"/>
      <c r="BF54" s="193"/>
      <c r="BG54" s="194"/>
      <c r="BH54" s="97"/>
      <c r="BI54" s="97"/>
      <c r="BJ54" s="193"/>
      <c r="BK54" s="194"/>
      <c r="BL54" s="180"/>
      <c r="BM54" s="180"/>
      <c r="BN54" s="180"/>
      <c r="BO54" s="180"/>
      <c r="BP54" s="180"/>
      <c r="BQ54" s="180"/>
      <c r="BR54" s="180"/>
      <c r="BS54" s="55" t="s">
        <v>300</v>
      </c>
    </row>
    <row r="55" spans="1:71" ht="25.5">
      <c r="A55" s="11" t="s">
        <v>46</v>
      </c>
      <c r="B55" s="8">
        <f>B1/500</f>
        <v>260</v>
      </c>
      <c r="C55" s="8" t="s">
        <v>14</v>
      </c>
      <c r="D55" s="65">
        <f>6*25</f>
        <v>150</v>
      </c>
      <c r="E55" s="38">
        <v>10</v>
      </c>
      <c r="F55" s="66">
        <f aca="true" t="shared" si="2" ref="F55:F66">E55*D55*B55</f>
        <v>390000</v>
      </c>
      <c r="G55" s="61" t="s">
        <v>335</v>
      </c>
      <c r="H55" s="97"/>
      <c r="I55" s="61"/>
      <c r="J55" s="197">
        <v>121275</v>
      </c>
      <c r="K55" s="188"/>
      <c r="L55" s="196"/>
      <c r="M55" s="217">
        <v>78000</v>
      </c>
      <c r="N55" s="193"/>
      <c r="O55" s="188"/>
      <c r="P55" s="97"/>
      <c r="Q55" s="97"/>
      <c r="R55" s="193"/>
      <c r="S55" s="188"/>
      <c r="T55" s="97"/>
      <c r="U55" s="97"/>
      <c r="V55" s="193"/>
      <c r="W55" s="188"/>
      <c r="X55" s="97"/>
      <c r="Y55" s="97"/>
      <c r="Z55" s="193"/>
      <c r="AA55" s="188"/>
      <c r="AB55" s="97"/>
      <c r="AC55" s="97"/>
      <c r="AD55" s="193"/>
      <c r="AE55" s="188"/>
      <c r="AF55" s="97"/>
      <c r="AG55" s="97"/>
      <c r="AH55" s="193"/>
      <c r="AI55" s="188"/>
      <c r="AJ55" s="97"/>
      <c r="AK55" s="97"/>
      <c r="AL55" s="193"/>
      <c r="AM55" s="188"/>
      <c r="AN55" s="97"/>
      <c r="AO55" s="97"/>
      <c r="AP55" s="193"/>
      <c r="AQ55" s="188"/>
      <c r="AR55" s="97"/>
      <c r="AS55" s="97"/>
      <c r="AT55" s="193"/>
      <c r="AU55" s="188"/>
      <c r="AV55" s="97"/>
      <c r="AW55" s="97"/>
      <c r="AX55" s="193"/>
      <c r="AY55" s="188"/>
      <c r="AZ55" s="97"/>
      <c r="BA55" s="97"/>
      <c r="BB55" s="193"/>
      <c r="BC55" s="188"/>
      <c r="BD55" s="97"/>
      <c r="BE55" s="97"/>
      <c r="BF55" s="193"/>
      <c r="BG55" s="188"/>
      <c r="BH55" s="97"/>
      <c r="BI55" s="97"/>
      <c r="BJ55" s="193"/>
      <c r="BK55" s="188"/>
      <c r="BL55" s="180"/>
      <c r="BM55" s="180"/>
      <c r="BN55" s="180"/>
      <c r="BO55" s="180"/>
      <c r="BP55" s="180"/>
      <c r="BQ55" s="180"/>
      <c r="BR55" s="180"/>
      <c r="BS55" s="55" t="s">
        <v>300</v>
      </c>
    </row>
    <row r="56" spans="1:71" ht="25.5">
      <c r="A56" s="11" t="s">
        <v>94</v>
      </c>
      <c r="B56" s="8">
        <f>B55*2</f>
        <v>520</v>
      </c>
      <c r="C56" s="8" t="s">
        <v>14</v>
      </c>
      <c r="D56" s="64">
        <v>2</v>
      </c>
      <c r="E56" s="29">
        <v>40</v>
      </c>
      <c r="F56" s="63">
        <f t="shared" si="2"/>
        <v>41600</v>
      </c>
      <c r="G56" s="61" t="s">
        <v>141</v>
      </c>
      <c r="H56" s="97"/>
      <c r="I56" s="61"/>
      <c r="J56" s="197">
        <v>3500</v>
      </c>
      <c r="K56" s="188"/>
      <c r="L56" s="196"/>
      <c r="M56" s="217">
        <v>8320</v>
      </c>
      <c r="N56" s="193"/>
      <c r="O56" s="188"/>
      <c r="P56" s="97"/>
      <c r="Q56" s="97"/>
      <c r="R56" s="193"/>
      <c r="S56" s="188"/>
      <c r="T56" s="97"/>
      <c r="U56" s="97"/>
      <c r="V56" s="193"/>
      <c r="W56" s="188"/>
      <c r="X56" s="97"/>
      <c r="Y56" s="97"/>
      <c r="Z56" s="193"/>
      <c r="AA56" s="188"/>
      <c r="AB56" s="97"/>
      <c r="AC56" s="97"/>
      <c r="AD56" s="193"/>
      <c r="AE56" s="188"/>
      <c r="AF56" s="97"/>
      <c r="AG56" s="97"/>
      <c r="AH56" s="193"/>
      <c r="AI56" s="188"/>
      <c r="AJ56" s="97"/>
      <c r="AK56" s="97"/>
      <c r="AL56" s="193"/>
      <c r="AM56" s="188"/>
      <c r="AN56" s="97"/>
      <c r="AO56" s="97"/>
      <c r="AP56" s="193"/>
      <c r="AQ56" s="188"/>
      <c r="AR56" s="97"/>
      <c r="AS56" s="97"/>
      <c r="AT56" s="193"/>
      <c r="AU56" s="188"/>
      <c r="AV56" s="97"/>
      <c r="AW56" s="97"/>
      <c r="AX56" s="193"/>
      <c r="AY56" s="188"/>
      <c r="AZ56" s="97"/>
      <c r="BA56" s="97"/>
      <c r="BB56" s="193"/>
      <c r="BC56" s="188"/>
      <c r="BD56" s="97"/>
      <c r="BE56" s="97"/>
      <c r="BF56" s="193"/>
      <c r="BG56" s="188"/>
      <c r="BH56" s="97"/>
      <c r="BI56" s="97"/>
      <c r="BJ56" s="193"/>
      <c r="BK56" s="188"/>
      <c r="BL56" s="180"/>
      <c r="BM56" s="180"/>
      <c r="BN56" s="180"/>
      <c r="BO56" s="180"/>
      <c r="BP56" s="180"/>
      <c r="BQ56" s="180"/>
      <c r="BR56" s="180"/>
      <c r="BS56" s="55" t="s">
        <v>300</v>
      </c>
    </row>
    <row r="57" spans="1:71" ht="12.75">
      <c r="A57" s="11" t="s">
        <v>47</v>
      </c>
      <c r="B57" s="8">
        <f>B1/250/3</f>
        <v>173.33333333333334</v>
      </c>
      <c r="C57" s="8" t="s">
        <v>14</v>
      </c>
      <c r="D57" s="64">
        <v>2</v>
      </c>
      <c r="E57" s="29">
        <v>40</v>
      </c>
      <c r="F57" s="63">
        <f>E57*D57*B57</f>
        <v>13866.666666666668</v>
      </c>
      <c r="G57" s="61" t="s">
        <v>104</v>
      </c>
      <c r="H57" s="97"/>
      <c r="I57" s="61"/>
      <c r="J57" s="197"/>
      <c r="K57" s="188"/>
      <c r="L57" s="196"/>
      <c r="M57" s="217">
        <v>2750</v>
      </c>
      <c r="N57" s="193"/>
      <c r="O57" s="188"/>
      <c r="P57" s="97"/>
      <c r="Q57" s="97"/>
      <c r="R57" s="193"/>
      <c r="S57" s="188"/>
      <c r="T57" s="97"/>
      <c r="U57" s="97"/>
      <c r="V57" s="193"/>
      <c r="W57" s="188"/>
      <c r="X57" s="97"/>
      <c r="Y57" s="97"/>
      <c r="Z57" s="193"/>
      <c r="AA57" s="188"/>
      <c r="AB57" s="97"/>
      <c r="AC57" s="97"/>
      <c r="AD57" s="193"/>
      <c r="AE57" s="188"/>
      <c r="AF57" s="97"/>
      <c r="AG57" s="97"/>
      <c r="AH57" s="193"/>
      <c r="AI57" s="188"/>
      <c r="AJ57" s="97"/>
      <c r="AK57" s="97"/>
      <c r="AL57" s="193"/>
      <c r="AM57" s="188"/>
      <c r="AN57" s="97"/>
      <c r="AO57" s="97"/>
      <c r="AP57" s="193"/>
      <c r="AQ57" s="188"/>
      <c r="AR57" s="97"/>
      <c r="AS57" s="97"/>
      <c r="AT57" s="193"/>
      <c r="AU57" s="188"/>
      <c r="AV57" s="97"/>
      <c r="AW57" s="97"/>
      <c r="AX57" s="193"/>
      <c r="AY57" s="188"/>
      <c r="AZ57" s="97"/>
      <c r="BA57" s="97"/>
      <c r="BB57" s="193"/>
      <c r="BC57" s="188"/>
      <c r="BD57" s="97"/>
      <c r="BE57" s="97"/>
      <c r="BF57" s="193"/>
      <c r="BG57" s="188"/>
      <c r="BH57" s="97"/>
      <c r="BI57" s="97"/>
      <c r="BJ57" s="193"/>
      <c r="BK57" s="188"/>
      <c r="BL57" s="180"/>
      <c r="BM57" s="180"/>
      <c r="BN57" s="180"/>
      <c r="BO57" s="180"/>
      <c r="BP57" s="180"/>
      <c r="BQ57" s="180"/>
      <c r="BR57" s="180"/>
      <c r="BS57" s="55" t="s">
        <v>300</v>
      </c>
    </row>
    <row r="58" spans="1:71" ht="38.25">
      <c r="A58" s="11" t="s">
        <v>170</v>
      </c>
      <c r="B58" s="8">
        <f>B57/7</f>
        <v>24.761904761904763</v>
      </c>
      <c r="C58" s="8" t="s">
        <v>171</v>
      </c>
      <c r="D58" s="64">
        <f>6</f>
        <v>6</v>
      </c>
      <c r="E58" s="38">
        <v>150</v>
      </c>
      <c r="F58" s="63">
        <f>E58*D58*B58</f>
        <v>22285.714285714286</v>
      </c>
      <c r="G58" s="61" t="s">
        <v>172</v>
      </c>
      <c r="H58" s="97"/>
      <c r="I58" s="61"/>
      <c r="J58" s="197"/>
      <c r="K58" s="188"/>
      <c r="L58" s="196"/>
      <c r="M58" s="217">
        <v>3750</v>
      </c>
      <c r="N58" s="193"/>
      <c r="O58" s="188"/>
      <c r="P58" s="97"/>
      <c r="Q58" s="97"/>
      <c r="R58" s="193"/>
      <c r="S58" s="188"/>
      <c r="T58" s="97"/>
      <c r="U58" s="97"/>
      <c r="V58" s="193"/>
      <c r="W58" s="188"/>
      <c r="X58" s="97"/>
      <c r="Y58" s="97"/>
      <c r="Z58" s="193"/>
      <c r="AA58" s="188"/>
      <c r="AB58" s="97"/>
      <c r="AC58" s="97"/>
      <c r="AD58" s="193"/>
      <c r="AE58" s="188"/>
      <c r="AF58" s="97"/>
      <c r="AG58" s="97"/>
      <c r="AH58" s="193"/>
      <c r="AI58" s="188"/>
      <c r="AJ58" s="97"/>
      <c r="AK58" s="97"/>
      <c r="AL58" s="193"/>
      <c r="AM58" s="188"/>
      <c r="AN58" s="97"/>
      <c r="AO58" s="97"/>
      <c r="AP58" s="193"/>
      <c r="AQ58" s="188"/>
      <c r="AR58" s="97"/>
      <c r="AS58" s="97"/>
      <c r="AT58" s="193"/>
      <c r="AU58" s="188"/>
      <c r="AV58" s="97"/>
      <c r="AW58" s="97"/>
      <c r="AX58" s="193"/>
      <c r="AY58" s="188"/>
      <c r="AZ58" s="97"/>
      <c r="BA58" s="97"/>
      <c r="BB58" s="193"/>
      <c r="BC58" s="188"/>
      <c r="BD58" s="97"/>
      <c r="BE58" s="97"/>
      <c r="BF58" s="193"/>
      <c r="BG58" s="188"/>
      <c r="BH58" s="97"/>
      <c r="BI58" s="97"/>
      <c r="BJ58" s="193"/>
      <c r="BK58" s="188"/>
      <c r="BL58" s="180"/>
      <c r="BM58" s="180"/>
      <c r="BN58" s="180"/>
      <c r="BO58" s="180"/>
      <c r="BP58" s="180"/>
      <c r="BQ58" s="180"/>
      <c r="BR58" s="180"/>
      <c r="BS58" s="55" t="s">
        <v>300</v>
      </c>
    </row>
    <row r="59" spans="1:72" ht="12.75">
      <c r="A59" s="11" t="s">
        <v>49</v>
      </c>
      <c r="B59" s="8">
        <f>B57/7</f>
        <v>24.761904761904763</v>
      </c>
      <c r="C59" s="8" t="s">
        <v>8</v>
      </c>
      <c r="D59" s="64">
        <v>1</v>
      </c>
      <c r="E59" s="29">
        <v>500</v>
      </c>
      <c r="F59" s="63">
        <f t="shared" si="2"/>
        <v>12380.952380952382</v>
      </c>
      <c r="G59" s="61" t="s">
        <v>95</v>
      </c>
      <c r="H59" s="97"/>
      <c r="I59" s="61"/>
      <c r="J59" s="197"/>
      <c r="K59" s="188"/>
      <c r="L59" s="196"/>
      <c r="M59" s="217">
        <v>2475</v>
      </c>
      <c r="N59" s="193"/>
      <c r="O59" s="188"/>
      <c r="P59" s="97"/>
      <c r="Q59" s="97"/>
      <c r="R59" s="193"/>
      <c r="S59" s="188"/>
      <c r="T59" s="97"/>
      <c r="U59" s="97"/>
      <c r="V59" s="193"/>
      <c r="W59" s="188"/>
      <c r="X59" s="97"/>
      <c r="Y59" s="97"/>
      <c r="Z59" s="193"/>
      <c r="AA59" s="188"/>
      <c r="AB59" s="97"/>
      <c r="AC59" s="97"/>
      <c r="AD59" s="193"/>
      <c r="AE59" s="188"/>
      <c r="AF59" s="97"/>
      <c r="AG59" s="97"/>
      <c r="AH59" s="193"/>
      <c r="AI59" s="188"/>
      <c r="AJ59" s="97"/>
      <c r="AK59" s="97"/>
      <c r="AL59" s="193"/>
      <c r="AM59" s="188"/>
      <c r="AN59" s="97"/>
      <c r="AO59" s="97"/>
      <c r="AP59" s="193"/>
      <c r="AQ59" s="188"/>
      <c r="AR59" s="97"/>
      <c r="AS59" s="97"/>
      <c r="AT59" s="193"/>
      <c r="AU59" s="188"/>
      <c r="AV59" s="97"/>
      <c r="AW59" s="97"/>
      <c r="AX59" s="193"/>
      <c r="AY59" s="188"/>
      <c r="AZ59" s="97"/>
      <c r="BA59" s="97"/>
      <c r="BB59" s="193"/>
      <c r="BC59" s="188"/>
      <c r="BD59" s="97"/>
      <c r="BE59" s="97"/>
      <c r="BF59" s="193"/>
      <c r="BG59" s="188"/>
      <c r="BH59" s="97"/>
      <c r="BI59" s="97"/>
      <c r="BJ59" s="193"/>
      <c r="BK59" s="188"/>
      <c r="BL59" s="180"/>
      <c r="BM59" s="180"/>
      <c r="BN59" s="180"/>
      <c r="BO59" s="180"/>
      <c r="BP59" s="180"/>
      <c r="BQ59" s="180"/>
      <c r="BR59" s="180"/>
      <c r="BT59" s="55" t="s">
        <v>300</v>
      </c>
    </row>
    <row r="60" spans="1:71" ht="12.75">
      <c r="A60" s="11" t="s">
        <v>50</v>
      </c>
      <c r="B60" s="8">
        <f>B1/F2/2</f>
        <v>13000</v>
      </c>
      <c r="C60" s="8" t="s">
        <v>11</v>
      </c>
      <c r="D60" s="64">
        <v>2</v>
      </c>
      <c r="E60" s="29">
        <v>2</v>
      </c>
      <c r="F60" s="63">
        <f t="shared" si="2"/>
        <v>52000</v>
      </c>
      <c r="G60" s="61" t="s">
        <v>98</v>
      </c>
      <c r="H60" s="97"/>
      <c r="I60" s="61"/>
      <c r="J60" s="197">
        <v>7000</v>
      </c>
      <c r="K60" s="188"/>
      <c r="L60" s="196"/>
      <c r="M60" s="217">
        <v>8500</v>
      </c>
      <c r="N60" s="193"/>
      <c r="O60" s="188"/>
      <c r="P60" s="97"/>
      <c r="Q60" s="97"/>
      <c r="R60" s="193"/>
      <c r="S60" s="188"/>
      <c r="T60" s="97"/>
      <c r="U60" s="97"/>
      <c r="V60" s="193"/>
      <c r="W60" s="188"/>
      <c r="X60" s="97"/>
      <c r="Y60" s="97"/>
      <c r="Z60" s="193"/>
      <c r="AA60" s="188"/>
      <c r="AB60" s="97"/>
      <c r="AC60" s="97"/>
      <c r="AD60" s="193"/>
      <c r="AE60" s="188"/>
      <c r="AF60" s="97"/>
      <c r="AG60" s="97"/>
      <c r="AH60" s="193"/>
      <c r="AI60" s="188"/>
      <c r="AJ60" s="97"/>
      <c r="AK60" s="97"/>
      <c r="AL60" s="193"/>
      <c r="AM60" s="188"/>
      <c r="AN60" s="97"/>
      <c r="AO60" s="97"/>
      <c r="AP60" s="193"/>
      <c r="AQ60" s="188"/>
      <c r="AR60" s="97"/>
      <c r="AS60" s="97"/>
      <c r="AT60" s="193"/>
      <c r="AU60" s="188"/>
      <c r="AV60" s="97"/>
      <c r="AW60" s="97"/>
      <c r="AX60" s="193"/>
      <c r="AY60" s="188"/>
      <c r="AZ60" s="97"/>
      <c r="BA60" s="97"/>
      <c r="BB60" s="193"/>
      <c r="BC60" s="188"/>
      <c r="BD60" s="97"/>
      <c r="BE60" s="97"/>
      <c r="BF60" s="193"/>
      <c r="BG60" s="188"/>
      <c r="BH60" s="97"/>
      <c r="BI60" s="97"/>
      <c r="BJ60" s="193"/>
      <c r="BK60" s="188"/>
      <c r="BL60" s="180"/>
      <c r="BM60" s="180"/>
      <c r="BN60" s="180"/>
      <c r="BO60" s="180"/>
      <c r="BP60" s="180"/>
      <c r="BQ60" s="180"/>
      <c r="BR60" s="180"/>
      <c r="BS60" s="55" t="s">
        <v>300</v>
      </c>
    </row>
    <row r="61" spans="1:71" ht="12.75">
      <c r="A61" s="11" t="s">
        <v>51</v>
      </c>
      <c r="B61" s="8">
        <f>B1/F2</f>
        <v>26000</v>
      </c>
      <c r="C61" s="8" t="s">
        <v>12</v>
      </c>
      <c r="D61" s="64">
        <v>3</v>
      </c>
      <c r="E61" s="29">
        <v>0.5</v>
      </c>
      <c r="F61" s="63">
        <f t="shared" si="2"/>
        <v>39000</v>
      </c>
      <c r="G61" s="61" t="s">
        <v>99</v>
      </c>
      <c r="H61" s="97"/>
      <c r="I61" s="97"/>
      <c r="J61" s="188"/>
      <c r="K61" s="188"/>
      <c r="L61" s="97"/>
      <c r="M61" s="217">
        <v>7000</v>
      </c>
      <c r="N61" s="188"/>
      <c r="O61" s="188"/>
      <c r="P61" s="97"/>
      <c r="Q61" s="97"/>
      <c r="R61" s="188"/>
      <c r="S61" s="188"/>
      <c r="T61" s="97"/>
      <c r="U61" s="97"/>
      <c r="V61" s="188"/>
      <c r="W61" s="188"/>
      <c r="X61" s="97"/>
      <c r="Y61" s="97"/>
      <c r="Z61" s="188"/>
      <c r="AA61" s="188"/>
      <c r="AB61" s="97"/>
      <c r="AC61" s="97"/>
      <c r="AD61" s="188"/>
      <c r="AE61" s="188"/>
      <c r="AF61" s="97"/>
      <c r="AG61" s="97"/>
      <c r="AH61" s="188"/>
      <c r="AI61" s="188"/>
      <c r="AJ61" s="97"/>
      <c r="AK61" s="97"/>
      <c r="AL61" s="188"/>
      <c r="AM61" s="188"/>
      <c r="AN61" s="97"/>
      <c r="AO61" s="97"/>
      <c r="AP61" s="188"/>
      <c r="AQ61" s="188"/>
      <c r="AR61" s="97"/>
      <c r="AS61" s="97"/>
      <c r="AT61" s="188"/>
      <c r="AU61" s="188"/>
      <c r="AV61" s="97"/>
      <c r="AW61" s="97"/>
      <c r="AX61" s="188"/>
      <c r="AY61" s="188"/>
      <c r="AZ61" s="97"/>
      <c r="BA61" s="97"/>
      <c r="BB61" s="188"/>
      <c r="BC61" s="188"/>
      <c r="BD61" s="97"/>
      <c r="BE61" s="97"/>
      <c r="BF61" s="188"/>
      <c r="BG61" s="188"/>
      <c r="BH61" s="97"/>
      <c r="BI61" s="97"/>
      <c r="BJ61" s="188"/>
      <c r="BK61" s="188"/>
      <c r="BL61" s="180"/>
      <c r="BM61" s="180"/>
      <c r="BN61" s="180"/>
      <c r="BO61" s="180"/>
      <c r="BP61" s="180"/>
      <c r="BQ61" s="180"/>
      <c r="BR61" s="180"/>
      <c r="BS61" s="55" t="s">
        <v>300</v>
      </c>
    </row>
    <row r="62" spans="1:71" ht="12.75">
      <c r="A62" s="74" t="s">
        <v>100</v>
      </c>
      <c r="B62" s="8">
        <f>B55</f>
        <v>260</v>
      </c>
      <c r="C62" s="8" t="s">
        <v>8</v>
      </c>
      <c r="D62" s="64">
        <v>1</v>
      </c>
      <c r="E62" s="29">
        <v>15</v>
      </c>
      <c r="F62" s="63">
        <f t="shared" si="2"/>
        <v>3900</v>
      </c>
      <c r="G62" s="61"/>
      <c r="H62" s="97"/>
      <c r="I62" s="97"/>
      <c r="J62" s="188"/>
      <c r="K62" s="188"/>
      <c r="L62" s="97"/>
      <c r="M62" s="97">
        <v>800</v>
      </c>
      <c r="N62" s="188"/>
      <c r="O62" s="188"/>
      <c r="P62" s="97"/>
      <c r="Q62" s="97"/>
      <c r="R62" s="188"/>
      <c r="S62" s="188"/>
      <c r="T62" s="97"/>
      <c r="U62" s="97"/>
      <c r="V62" s="188"/>
      <c r="W62" s="188"/>
      <c r="X62" s="97"/>
      <c r="Y62" s="97"/>
      <c r="Z62" s="188"/>
      <c r="AA62" s="188"/>
      <c r="AB62" s="97"/>
      <c r="AC62" s="97"/>
      <c r="AD62" s="188"/>
      <c r="AE62" s="188"/>
      <c r="AF62" s="97"/>
      <c r="AG62" s="97"/>
      <c r="AH62" s="188"/>
      <c r="AI62" s="188"/>
      <c r="AJ62" s="97"/>
      <c r="AK62" s="97"/>
      <c r="AL62" s="188"/>
      <c r="AM62" s="188"/>
      <c r="AN62" s="97"/>
      <c r="AO62" s="97"/>
      <c r="AP62" s="188"/>
      <c r="AQ62" s="188"/>
      <c r="AR62" s="97"/>
      <c r="AS62" s="97"/>
      <c r="AT62" s="188"/>
      <c r="AU62" s="188"/>
      <c r="AV62" s="97"/>
      <c r="AW62" s="97"/>
      <c r="AX62" s="188"/>
      <c r="AY62" s="188"/>
      <c r="AZ62" s="97"/>
      <c r="BA62" s="97"/>
      <c r="BB62" s="188"/>
      <c r="BC62" s="188"/>
      <c r="BD62" s="97"/>
      <c r="BE62" s="97"/>
      <c r="BF62" s="188"/>
      <c r="BG62" s="188"/>
      <c r="BH62" s="97"/>
      <c r="BI62" s="97"/>
      <c r="BJ62" s="188"/>
      <c r="BK62" s="188"/>
      <c r="BL62" s="180"/>
      <c r="BM62" s="180"/>
      <c r="BN62" s="180"/>
      <c r="BO62" s="180"/>
      <c r="BP62" s="180"/>
      <c r="BQ62" s="180"/>
      <c r="BR62" s="180"/>
      <c r="BS62" s="55" t="s">
        <v>300</v>
      </c>
    </row>
    <row r="63" spans="1:71" ht="12.75">
      <c r="A63" s="11" t="s">
        <v>52</v>
      </c>
      <c r="B63" s="8">
        <v>4</v>
      </c>
      <c r="C63" s="8" t="s">
        <v>77</v>
      </c>
      <c r="D63" s="64">
        <v>2</v>
      </c>
      <c r="E63" s="38">
        <v>10000</v>
      </c>
      <c r="F63" s="63">
        <f t="shared" si="2"/>
        <v>80000</v>
      </c>
      <c r="G63" s="61" t="s">
        <v>213</v>
      </c>
      <c r="H63" s="97"/>
      <c r="I63" s="97"/>
      <c r="J63" s="188"/>
      <c r="K63" s="188"/>
      <c r="L63" s="97"/>
      <c r="M63" s="217">
        <v>15000</v>
      </c>
      <c r="N63" s="188"/>
      <c r="O63" s="188"/>
      <c r="P63" s="97"/>
      <c r="Q63" s="97"/>
      <c r="R63" s="188"/>
      <c r="S63" s="188"/>
      <c r="T63" s="97"/>
      <c r="U63" s="97"/>
      <c r="V63" s="188"/>
      <c r="W63" s="188"/>
      <c r="X63" s="97"/>
      <c r="Y63" s="97"/>
      <c r="Z63" s="188"/>
      <c r="AA63" s="188"/>
      <c r="AB63" s="97"/>
      <c r="AC63" s="97"/>
      <c r="AD63" s="188"/>
      <c r="AE63" s="188"/>
      <c r="AF63" s="97"/>
      <c r="AG63" s="97"/>
      <c r="AH63" s="188"/>
      <c r="AI63" s="188"/>
      <c r="AJ63" s="97"/>
      <c r="AK63" s="97"/>
      <c r="AL63" s="188"/>
      <c r="AM63" s="188"/>
      <c r="AN63" s="97"/>
      <c r="AO63" s="97"/>
      <c r="AP63" s="188"/>
      <c r="AQ63" s="188"/>
      <c r="AR63" s="97"/>
      <c r="AS63" s="97"/>
      <c r="AT63" s="188"/>
      <c r="AU63" s="188"/>
      <c r="AV63" s="97"/>
      <c r="AW63" s="97"/>
      <c r="AX63" s="188"/>
      <c r="AY63" s="188"/>
      <c r="AZ63" s="97"/>
      <c r="BA63" s="97"/>
      <c r="BB63" s="188"/>
      <c r="BC63" s="188"/>
      <c r="BD63" s="97"/>
      <c r="BE63" s="97"/>
      <c r="BF63" s="188"/>
      <c r="BG63" s="188"/>
      <c r="BH63" s="97"/>
      <c r="BI63" s="97"/>
      <c r="BJ63" s="188"/>
      <c r="BK63" s="188"/>
      <c r="BL63" s="180"/>
      <c r="BM63" s="180"/>
      <c r="BN63" s="180"/>
      <c r="BO63" s="180"/>
      <c r="BP63" s="180"/>
      <c r="BQ63" s="180"/>
      <c r="BR63" s="180"/>
      <c r="BS63" s="55" t="s">
        <v>300</v>
      </c>
    </row>
    <row r="64" spans="1:70" ht="12.75">
      <c r="A64" s="11"/>
      <c r="B64" s="8"/>
      <c r="C64" s="8"/>
      <c r="D64" s="64"/>
      <c r="E64" s="38"/>
      <c r="F64" s="63">
        <f t="shared" si="2"/>
        <v>0</v>
      </c>
      <c r="G64" s="61"/>
      <c r="H64" s="97"/>
      <c r="I64" s="97"/>
      <c r="J64" s="188"/>
      <c r="K64" s="188"/>
      <c r="L64" s="97"/>
      <c r="M64" s="97"/>
      <c r="N64" s="188"/>
      <c r="O64" s="188"/>
      <c r="P64" s="97"/>
      <c r="Q64" s="97"/>
      <c r="R64" s="188"/>
      <c r="S64" s="188"/>
      <c r="T64" s="97"/>
      <c r="U64" s="97"/>
      <c r="V64" s="188"/>
      <c r="W64" s="188"/>
      <c r="X64" s="97"/>
      <c r="Y64" s="97"/>
      <c r="Z64" s="188"/>
      <c r="AA64" s="188"/>
      <c r="AB64" s="97"/>
      <c r="AC64" s="97"/>
      <c r="AD64" s="188"/>
      <c r="AE64" s="188"/>
      <c r="AF64" s="97"/>
      <c r="AG64" s="97"/>
      <c r="AH64" s="188"/>
      <c r="AI64" s="188"/>
      <c r="AJ64" s="97"/>
      <c r="AK64" s="97"/>
      <c r="AL64" s="188"/>
      <c r="AM64" s="188"/>
      <c r="AN64" s="97"/>
      <c r="AO64" s="97"/>
      <c r="AP64" s="188"/>
      <c r="AQ64" s="188"/>
      <c r="AR64" s="97"/>
      <c r="AS64" s="97"/>
      <c r="AT64" s="188"/>
      <c r="AU64" s="188"/>
      <c r="AV64" s="97"/>
      <c r="AW64" s="97"/>
      <c r="AX64" s="188"/>
      <c r="AY64" s="188"/>
      <c r="AZ64" s="97"/>
      <c r="BA64" s="97"/>
      <c r="BB64" s="188"/>
      <c r="BC64" s="188"/>
      <c r="BD64" s="97"/>
      <c r="BE64" s="97"/>
      <c r="BF64" s="188"/>
      <c r="BG64" s="188"/>
      <c r="BH64" s="97"/>
      <c r="BI64" s="97"/>
      <c r="BJ64" s="188"/>
      <c r="BK64" s="188"/>
      <c r="BL64" s="180"/>
      <c r="BM64" s="180"/>
      <c r="BN64" s="180"/>
      <c r="BO64" s="180"/>
      <c r="BP64" s="180"/>
      <c r="BQ64" s="180"/>
      <c r="BR64" s="180"/>
    </row>
    <row r="65" spans="1:70" ht="12.75">
      <c r="A65" s="11"/>
      <c r="B65" s="8"/>
      <c r="C65" s="8"/>
      <c r="D65" s="64"/>
      <c r="E65" s="29"/>
      <c r="F65" s="63">
        <f t="shared" si="2"/>
        <v>0</v>
      </c>
      <c r="G65" s="61"/>
      <c r="H65" s="97"/>
      <c r="I65" s="97"/>
      <c r="J65" s="188"/>
      <c r="K65" s="188"/>
      <c r="L65" s="97"/>
      <c r="M65" s="97"/>
      <c r="N65" s="188"/>
      <c r="O65" s="188"/>
      <c r="P65" s="97"/>
      <c r="Q65" s="97"/>
      <c r="R65" s="188"/>
      <c r="S65" s="188"/>
      <c r="T65" s="97"/>
      <c r="U65" s="97"/>
      <c r="V65" s="188"/>
      <c r="W65" s="188"/>
      <c r="X65" s="97"/>
      <c r="Y65" s="97"/>
      <c r="Z65" s="188"/>
      <c r="AA65" s="188"/>
      <c r="AB65" s="97"/>
      <c r="AC65" s="97"/>
      <c r="AD65" s="188"/>
      <c r="AE65" s="188"/>
      <c r="AF65" s="97"/>
      <c r="AG65" s="97"/>
      <c r="AH65" s="188"/>
      <c r="AI65" s="188"/>
      <c r="AJ65" s="97"/>
      <c r="AK65" s="97"/>
      <c r="AL65" s="188"/>
      <c r="AM65" s="188"/>
      <c r="AN65" s="97"/>
      <c r="AO65" s="97"/>
      <c r="AP65" s="188"/>
      <c r="AQ65" s="188"/>
      <c r="AR65" s="97"/>
      <c r="AS65" s="97"/>
      <c r="AT65" s="188"/>
      <c r="AU65" s="188"/>
      <c r="AV65" s="97"/>
      <c r="AW65" s="97"/>
      <c r="AX65" s="188"/>
      <c r="AY65" s="188"/>
      <c r="AZ65" s="97"/>
      <c r="BA65" s="97"/>
      <c r="BB65" s="188"/>
      <c r="BC65" s="188"/>
      <c r="BD65" s="97"/>
      <c r="BE65" s="97"/>
      <c r="BF65" s="188"/>
      <c r="BG65" s="188"/>
      <c r="BH65" s="97"/>
      <c r="BI65" s="97"/>
      <c r="BJ65" s="188"/>
      <c r="BK65" s="188"/>
      <c r="BL65" s="180"/>
      <c r="BM65" s="180"/>
      <c r="BN65" s="180"/>
      <c r="BO65" s="180"/>
      <c r="BP65" s="180"/>
      <c r="BQ65" s="180"/>
      <c r="BR65" s="180"/>
    </row>
    <row r="66" spans="1:70" ht="12.75">
      <c r="A66" s="119"/>
      <c r="B66" s="120"/>
      <c r="C66" s="121"/>
      <c r="D66" s="122"/>
      <c r="E66" s="123"/>
      <c r="F66" s="124">
        <f t="shared" si="2"/>
        <v>0</v>
      </c>
      <c r="G66" s="125"/>
      <c r="H66" s="97"/>
      <c r="I66" s="97"/>
      <c r="J66" s="188"/>
      <c r="K66" s="188"/>
      <c r="L66" s="97"/>
      <c r="M66" s="97"/>
      <c r="N66" s="188"/>
      <c r="O66" s="188"/>
      <c r="P66" s="97"/>
      <c r="Q66" s="97"/>
      <c r="R66" s="188"/>
      <c r="S66" s="188"/>
      <c r="T66" s="97"/>
      <c r="U66" s="97"/>
      <c r="V66" s="188"/>
      <c r="W66" s="188"/>
      <c r="X66" s="97"/>
      <c r="Y66" s="97"/>
      <c r="Z66" s="188"/>
      <c r="AA66" s="188"/>
      <c r="AB66" s="97"/>
      <c r="AC66" s="97"/>
      <c r="AD66" s="188"/>
      <c r="AE66" s="188"/>
      <c r="AF66" s="97"/>
      <c r="AG66" s="97"/>
      <c r="AH66" s="188"/>
      <c r="AI66" s="188"/>
      <c r="AJ66" s="97"/>
      <c r="AK66" s="97"/>
      <c r="AL66" s="188"/>
      <c r="AM66" s="188"/>
      <c r="AN66" s="97"/>
      <c r="AO66" s="97"/>
      <c r="AP66" s="188"/>
      <c r="AQ66" s="188"/>
      <c r="AR66" s="97"/>
      <c r="AS66" s="97"/>
      <c r="AT66" s="188"/>
      <c r="AU66" s="188"/>
      <c r="AV66" s="97"/>
      <c r="AW66" s="97"/>
      <c r="AX66" s="188"/>
      <c r="AY66" s="188"/>
      <c r="AZ66" s="97"/>
      <c r="BA66" s="97"/>
      <c r="BB66" s="188"/>
      <c r="BC66" s="188"/>
      <c r="BD66" s="97"/>
      <c r="BE66" s="97"/>
      <c r="BF66" s="188"/>
      <c r="BG66" s="188"/>
      <c r="BH66" s="97"/>
      <c r="BI66" s="97"/>
      <c r="BJ66" s="188"/>
      <c r="BK66" s="188"/>
      <c r="BL66" s="180"/>
      <c r="BM66" s="180"/>
      <c r="BN66" s="180"/>
      <c r="BO66" s="180"/>
      <c r="BP66" s="180"/>
      <c r="BQ66" s="180"/>
      <c r="BR66" s="180"/>
    </row>
    <row r="67" spans="1:70" ht="12.75">
      <c r="A67" s="52" t="s">
        <v>31</v>
      </c>
      <c r="B67" s="109"/>
      <c r="C67" s="103"/>
      <c r="D67" s="104"/>
      <c r="E67" s="130"/>
      <c r="F67" s="58">
        <f>SUM(F68:F87)</f>
        <v>735913</v>
      </c>
      <c r="G67" s="104"/>
      <c r="H67" s="104"/>
      <c r="I67" s="104"/>
      <c r="J67" s="58">
        <f>SUM(J68:J87)</f>
        <v>0</v>
      </c>
      <c r="K67" s="195"/>
      <c r="L67" s="104"/>
      <c r="M67" s="58">
        <f>SUM(M68:M87)</f>
        <v>59860</v>
      </c>
      <c r="N67" s="58">
        <f>SUM(N68:N87)</f>
        <v>0</v>
      </c>
      <c r="O67" s="195"/>
      <c r="P67" s="104"/>
      <c r="Q67" s="104"/>
      <c r="R67" s="58">
        <f>SUM(R68:R87)</f>
        <v>0</v>
      </c>
      <c r="S67" s="195"/>
      <c r="T67" s="104"/>
      <c r="U67" s="104"/>
      <c r="V67" s="58">
        <f>SUM(V68:V87)</f>
        <v>0</v>
      </c>
      <c r="W67" s="195"/>
      <c r="X67" s="104"/>
      <c r="Y67" s="104"/>
      <c r="Z67" s="58">
        <f>SUM(Z68:Z87)</f>
        <v>0</v>
      </c>
      <c r="AA67" s="195"/>
      <c r="AB67" s="104"/>
      <c r="AC67" s="104"/>
      <c r="AD67" s="58">
        <f>SUM(AD68:AD87)</f>
        <v>0</v>
      </c>
      <c r="AE67" s="195"/>
      <c r="AF67" s="104"/>
      <c r="AG67" s="104"/>
      <c r="AH67" s="58">
        <f>SUM(AH68:AH87)</f>
        <v>0</v>
      </c>
      <c r="AI67" s="195"/>
      <c r="AJ67" s="104"/>
      <c r="AK67" s="104"/>
      <c r="AL67" s="58">
        <f>SUM(AL68:AL87)</f>
        <v>0</v>
      </c>
      <c r="AM67" s="195"/>
      <c r="AN67" s="104"/>
      <c r="AO67" s="104"/>
      <c r="AP67" s="58">
        <f>SUM(AP68:AP87)</f>
        <v>0</v>
      </c>
      <c r="AQ67" s="195"/>
      <c r="AR67" s="104"/>
      <c r="AS67" s="104"/>
      <c r="AT67" s="58">
        <f>SUM(AT68:AT87)</f>
        <v>0</v>
      </c>
      <c r="AU67" s="195"/>
      <c r="AV67" s="104"/>
      <c r="AW67" s="104"/>
      <c r="AX67" s="58">
        <f>SUM(AX68:AX87)</f>
        <v>0</v>
      </c>
      <c r="AY67" s="195"/>
      <c r="AZ67" s="104"/>
      <c r="BA67" s="104"/>
      <c r="BB67" s="58">
        <f>SUM(BB68:BB87)</f>
        <v>0</v>
      </c>
      <c r="BC67" s="195"/>
      <c r="BD67" s="104"/>
      <c r="BE67" s="104"/>
      <c r="BF67" s="58">
        <f>SUM(BF68:BF87)</f>
        <v>0</v>
      </c>
      <c r="BG67" s="195"/>
      <c r="BH67" s="104"/>
      <c r="BI67" s="104"/>
      <c r="BJ67" s="58">
        <f>SUM(BJ68:BJ87)</f>
        <v>0</v>
      </c>
      <c r="BK67" s="195"/>
      <c r="BL67" s="182"/>
      <c r="BM67" s="182"/>
      <c r="BN67" s="182"/>
      <c r="BO67" s="182"/>
      <c r="BP67" s="182"/>
      <c r="BQ67" s="182"/>
      <c r="BR67" s="182"/>
    </row>
    <row r="68" spans="1:70" ht="12.75">
      <c r="A68" s="100" t="s">
        <v>155</v>
      </c>
      <c r="B68" s="19">
        <f>B2</f>
        <v>5</v>
      </c>
      <c r="C68" s="19" t="s">
        <v>66</v>
      </c>
      <c r="D68" s="59">
        <v>1</v>
      </c>
      <c r="E68" s="39">
        <v>40000</v>
      </c>
      <c r="F68" s="60"/>
      <c r="G68" s="108" t="s">
        <v>262</v>
      </c>
      <c r="H68" s="97"/>
      <c r="I68" s="97"/>
      <c r="J68" s="188"/>
      <c r="K68" s="188"/>
      <c r="L68" s="97"/>
      <c r="M68" s="97"/>
      <c r="N68" s="188"/>
      <c r="O68" s="188"/>
      <c r="P68" s="97"/>
      <c r="Q68" s="97"/>
      <c r="R68" s="188"/>
      <c r="S68" s="188"/>
      <c r="T68" s="97"/>
      <c r="U68" s="97"/>
      <c r="V68" s="188"/>
      <c r="W68" s="188"/>
      <c r="X68" s="97"/>
      <c r="Y68" s="97"/>
      <c r="Z68" s="188"/>
      <c r="AA68" s="188"/>
      <c r="AB68" s="97"/>
      <c r="AC68" s="97"/>
      <c r="AD68" s="188"/>
      <c r="AE68" s="188"/>
      <c r="AF68" s="97"/>
      <c r="AG68" s="97"/>
      <c r="AH68" s="188"/>
      <c r="AI68" s="188"/>
      <c r="AJ68" s="97"/>
      <c r="AK68" s="97"/>
      <c r="AL68" s="188"/>
      <c r="AM68" s="188"/>
      <c r="AN68" s="97"/>
      <c r="AO68" s="97"/>
      <c r="AP68" s="188"/>
      <c r="AQ68" s="188"/>
      <c r="AR68" s="97"/>
      <c r="AS68" s="97"/>
      <c r="AT68" s="188"/>
      <c r="AU68" s="188"/>
      <c r="AV68" s="97"/>
      <c r="AW68" s="97"/>
      <c r="AX68" s="188"/>
      <c r="AY68" s="188"/>
      <c r="AZ68" s="97"/>
      <c r="BA68" s="97"/>
      <c r="BB68" s="188"/>
      <c r="BC68" s="188"/>
      <c r="BD68" s="97"/>
      <c r="BE68" s="97"/>
      <c r="BF68" s="188"/>
      <c r="BG68" s="188"/>
      <c r="BH68" s="97"/>
      <c r="BI68" s="97"/>
      <c r="BJ68" s="188"/>
      <c r="BK68" s="188"/>
      <c r="BL68" s="180"/>
      <c r="BM68" s="180"/>
      <c r="BN68" s="180"/>
      <c r="BO68" s="180"/>
      <c r="BP68" s="180"/>
      <c r="BQ68" s="180"/>
      <c r="BR68" s="180"/>
    </row>
    <row r="69" spans="1:72" ht="12.75">
      <c r="A69" s="11" t="s">
        <v>154</v>
      </c>
      <c r="B69" s="8">
        <f>B3</f>
        <v>3</v>
      </c>
      <c r="C69" s="8" t="s">
        <v>66</v>
      </c>
      <c r="D69" s="64">
        <v>1</v>
      </c>
      <c r="E69" s="38">
        <v>40000</v>
      </c>
      <c r="F69" s="63">
        <f>E69*D69*B69</f>
        <v>120000</v>
      </c>
      <c r="G69" s="61" t="s">
        <v>156</v>
      </c>
      <c r="H69" s="97"/>
      <c r="I69" s="97"/>
      <c r="J69" s="188"/>
      <c r="K69" s="188"/>
      <c r="L69" s="97"/>
      <c r="M69" s="97"/>
      <c r="N69" s="188"/>
      <c r="O69" s="188"/>
      <c r="P69" s="97"/>
      <c r="Q69" s="97"/>
      <c r="R69" s="188"/>
      <c r="S69" s="188"/>
      <c r="T69" s="97"/>
      <c r="U69" s="97"/>
      <c r="V69" s="188"/>
      <c r="W69" s="188"/>
      <c r="X69" s="97"/>
      <c r="Y69" s="97"/>
      <c r="Z69" s="188"/>
      <c r="AA69" s="188"/>
      <c r="AB69" s="97"/>
      <c r="AC69" s="97"/>
      <c r="AD69" s="188"/>
      <c r="AE69" s="188"/>
      <c r="AF69" s="97"/>
      <c r="AG69" s="97"/>
      <c r="AH69" s="188"/>
      <c r="AI69" s="188"/>
      <c r="AJ69" s="97"/>
      <c r="AK69" s="97"/>
      <c r="AL69" s="188"/>
      <c r="AM69" s="188"/>
      <c r="AN69" s="97"/>
      <c r="AO69" s="97"/>
      <c r="AP69" s="188"/>
      <c r="AQ69" s="188"/>
      <c r="AR69" s="97"/>
      <c r="AS69" s="97"/>
      <c r="AT69" s="188"/>
      <c r="AU69" s="188"/>
      <c r="AV69" s="97"/>
      <c r="AW69" s="97"/>
      <c r="AX69" s="188"/>
      <c r="AY69" s="188"/>
      <c r="AZ69" s="97"/>
      <c r="BA69" s="97"/>
      <c r="BB69" s="188"/>
      <c r="BC69" s="188"/>
      <c r="BD69" s="97"/>
      <c r="BE69" s="97"/>
      <c r="BF69" s="188"/>
      <c r="BG69" s="188"/>
      <c r="BH69" s="97"/>
      <c r="BI69" s="97"/>
      <c r="BJ69" s="188"/>
      <c r="BK69" s="188"/>
      <c r="BL69" s="180"/>
      <c r="BM69" s="180"/>
      <c r="BN69" s="180"/>
      <c r="BO69" s="180"/>
      <c r="BP69" s="180"/>
      <c r="BQ69" s="180"/>
      <c r="BR69" s="180"/>
      <c r="BT69" s="55" t="s">
        <v>300</v>
      </c>
    </row>
    <row r="70" spans="1:70" ht="12.75">
      <c r="A70" s="11" t="s">
        <v>148</v>
      </c>
      <c r="B70" s="8">
        <f>B4</f>
        <v>52</v>
      </c>
      <c r="C70" s="8" t="s">
        <v>66</v>
      </c>
      <c r="D70" s="64">
        <v>1</v>
      </c>
      <c r="E70" s="38">
        <v>2000</v>
      </c>
      <c r="F70" s="63"/>
      <c r="G70" s="61" t="s">
        <v>263</v>
      </c>
      <c r="H70" s="97"/>
      <c r="I70" s="97"/>
      <c r="J70" s="188"/>
      <c r="K70" s="188"/>
      <c r="L70" s="97"/>
      <c r="M70" s="97"/>
      <c r="N70" s="188"/>
      <c r="O70" s="188"/>
      <c r="P70" s="97"/>
      <c r="Q70" s="97"/>
      <c r="R70" s="188"/>
      <c r="S70" s="188"/>
      <c r="T70" s="97"/>
      <c r="U70" s="97"/>
      <c r="V70" s="188"/>
      <c r="W70" s="188"/>
      <c r="X70" s="97"/>
      <c r="Y70" s="97"/>
      <c r="Z70" s="188"/>
      <c r="AA70" s="188"/>
      <c r="AB70" s="97"/>
      <c r="AC70" s="97"/>
      <c r="AD70" s="188"/>
      <c r="AE70" s="188"/>
      <c r="AF70" s="97"/>
      <c r="AG70" s="97"/>
      <c r="AH70" s="188"/>
      <c r="AI70" s="188"/>
      <c r="AJ70" s="97"/>
      <c r="AK70" s="97"/>
      <c r="AL70" s="188"/>
      <c r="AM70" s="188"/>
      <c r="AN70" s="97"/>
      <c r="AO70" s="97"/>
      <c r="AP70" s="188"/>
      <c r="AQ70" s="188"/>
      <c r="AR70" s="97"/>
      <c r="AS70" s="97"/>
      <c r="AT70" s="188"/>
      <c r="AU70" s="188"/>
      <c r="AV70" s="97"/>
      <c r="AW70" s="97"/>
      <c r="AX70" s="188"/>
      <c r="AY70" s="188"/>
      <c r="AZ70" s="97"/>
      <c r="BA70" s="97"/>
      <c r="BB70" s="188"/>
      <c r="BC70" s="188"/>
      <c r="BD70" s="97"/>
      <c r="BE70" s="97"/>
      <c r="BF70" s="188"/>
      <c r="BG70" s="188"/>
      <c r="BH70" s="97"/>
      <c r="BI70" s="97"/>
      <c r="BJ70" s="188"/>
      <c r="BK70" s="188"/>
      <c r="BL70" s="180"/>
      <c r="BM70" s="180"/>
      <c r="BN70" s="180"/>
      <c r="BO70" s="180"/>
      <c r="BP70" s="180"/>
      <c r="BQ70" s="180"/>
      <c r="BR70" s="180"/>
    </row>
    <row r="71" spans="1:70" ht="12.75">
      <c r="A71" s="11" t="s">
        <v>124</v>
      </c>
      <c r="B71" s="8">
        <f>B2*2+B3*2+B4</f>
        <v>68</v>
      </c>
      <c r="C71" s="8" t="s">
        <v>67</v>
      </c>
      <c r="D71" s="64">
        <f>25*6</f>
        <v>150</v>
      </c>
      <c r="E71" s="29">
        <v>8</v>
      </c>
      <c r="F71" s="63"/>
      <c r="G71" s="61" t="s">
        <v>264</v>
      </c>
      <c r="H71" s="97"/>
      <c r="I71" s="97"/>
      <c r="J71" s="188"/>
      <c r="K71" s="188"/>
      <c r="L71" s="97"/>
      <c r="M71" s="97"/>
      <c r="N71" s="188"/>
      <c r="O71" s="188"/>
      <c r="P71" s="97"/>
      <c r="Q71" s="97"/>
      <c r="R71" s="188"/>
      <c r="S71" s="188"/>
      <c r="T71" s="97"/>
      <c r="U71" s="97"/>
      <c r="V71" s="188"/>
      <c r="W71" s="188"/>
      <c r="X71" s="97"/>
      <c r="Y71" s="97"/>
      <c r="Z71" s="188"/>
      <c r="AA71" s="188"/>
      <c r="AB71" s="97"/>
      <c r="AC71" s="97"/>
      <c r="AD71" s="188"/>
      <c r="AE71" s="188"/>
      <c r="AF71" s="97"/>
      <c r="AG71" s="97"/>
      <c r="AH71" s="188"/>
      <c r="AI71" s="188"/>
      <c r="AJ71" s="97"/>
      <c r="AK71" s="97"/>
      <c r="AL71" s="188"/>
      <c r="AM71" s="188"/>
      <c r="AN71" s="97"/>
      <c r="AO71" s="97"/>
      <c r="AP71" s="188"/>
      <c r="AQ71" s="188"/>
      <c r="AR71" s="97"/>
      <c r="AS71" s="97"/>
      <c r="AT71" s="188"/>
      <c r="AU71" s="188"/>
      <c r="AV71" s="97"/>
      <c r="AW71" s="97"/>
      <c r="AX71" s="188"/>
      <c r="AY71" s="188"/>
      <c r="AZ71" s="97"/>
      <c r="BA71" s="97"/>
      <c r="BB71" s="188"/>
      <c r="BC71" s="188"/>
      <c r="BD71" s="97"/>
      <c r="BE71" s="97"/>
      <c r="BF71" s="188"/>
      <c r="BG71" s="188"/>
      <c r="BH71" s="97"/>
      <c r="BI71" s="97"/>
      <c r="BJ71" s="188"/>
      <c r="BK71" s="188"/>
      <c r="BL71" s="180"/>
      <c r="BM71" s="180"/>
      <c r="BN71" s="180"/>
      <c r="BO71" s="180"/>
      <c r="BP71" s="180"/>
      <c r="BQ71" s="180"/>
      <c r="BR71" s="180"/>
    </row>
    <row r="72" spans="1:71" ht="25.5">
      <c r="A72" s="11" t="s">
        <v>164</v>
      </c>
      <c r="B72" s="8">
        <f>(B3*5000*3+B4*40*3)/1000</f>
        <v>51.24</v>
      </c>
      <c r="C72" s="8" t="s">
        <v>65</v>
      </c>
      <c r="D72" s="64">
        <f>6*25</f>
        <v>150</v>
      </c>
      <c r="E72" s="29">
        <v>7</v>
      </c>
      <c r="F72" s="66">
        <f aca="true" t="shared" si="3" ref="F72:F87">E72*D72*B72</f>
        <v>53802</v>
      </c>
      <c r="G72" s="61" t="s">
        <v>257</v>
      </c>
      <c r="H72" s="97"/>
      <c r="I72" s="97"/>
      <c r="J72" s="188"/>
      <c r="K72" s="188"/>
      <c r="L72" s="97"/>
      <c r="M72" s="97"/>
      <c r="N72" s="188"/>
      <c r="O72" s="188"/>
      <c r="P72" s="97"/>
      <c r="Q72" s="97"/>
      <c r="R72" s="188"/>
      <c r="S72" s="188"/>
      <c r="T72" s="97"/>
      <c r="U72" s="97"/>
      <c r="V72" s="188"/>
      <c r="W72" s="188"/>
      <c r="X72" s="97"/>
      <c r="Y72" s="97"/>
      <c r="Z72" s="188"/>
      <c r="AA72" s="188"/>
      <c r="AB72" s="97"/>
      <c r="AC72" s="97"/>
      <c r="AD72" s="188"/>
      <c r="AE72" s="188"/>
      <c r="AF72" s="97"/>
      <c r="AG72" s="97"/>
      <c r="AH72" s="188"/>
      <c r="AI72" s="188"/>
      <c r="AJ72" s="97"/>
      <c r="AK72" s="97"/>
      <c r="AL72" s="188"/>
      <c r="AM72" s="188"/>
      <c r="AN72" s="97"/>
      <c r="AO72" s="97"/>
      <c r="AP72" s="188"/>
      <c r="AQ72" s="188"/>
      <c r="AR72" s="97"/>
      <c r="AS72" s="97"/>
      <c r="AT72" s="188"/>
      <c r="AU72" s="188"/>
      <c r="AV72" s="97"/>
      <c r="AW72" s="97"/>
      <c r="AX72" s="188"/>
      <c r="AY72" s="188"/>
      <c r="AZ72" s="97"/>
      <c r="BA72" s="97"/>
      <c r="BB72" s="188"/>
      <c r="BC72" s="188"/>
      <c r="BD72" s="97"/>
      <c r="BE72" s="97"/>
      <c r="BF72" s="188"/>
      <c r="BG72" s="188"/>
      <c r="BH72" s="97"/>
      <c r="BI72" s="97"/>
      <c r="BJ72" s="188"/>
      <c r="BK72" s="188"/>
      <c r="BL72" s="180"/>
      <c r="BM72" s="180"/>
      <c r="BN72" s="180"/>
      <c r="BO72" s="180"/>
      <c r="BP72" s="180"/>
      <c r="BQ72" s="180"/>
      <c r="BR72" s="180"/>
      <c r="BS72" s="55" t="s">
        <v>300</v>
      </c>
    </row>
    <row r="73" spans="1:71" ht="25.5">
      <c r="A73" s="11" t="s">
        <v>165</v>
      </c>
      <c r="B73" s="8">
        <f>B2*500*30/1000</f>
        <v>75</v>
      </c>
      <c r="C73" s="8" t="s">
        <v>65</v>
      </c>
      <c r="D73" s="64">
        <f>6*30</f>
        <v>180</v>
      </c>
      <c r="E73" s="29">
        <v>7</v>
      </c>
      <c r="F73" s="66">
        <f t="shared" si="3"/>
        <v>94500</v>
      </c>
      <c r="G73" s="61" t="s">
        <v>173</v>
      </c>
      <c r="H73" s="97"/>
      <c r="I73" s="97"/>
      <c r="J73" s="188"/>
      <c r="K73" s="188"/>
      <c r="L73" s="97"/>
      <c r="M73" s="97"/>
      <c r="N73" s="188"/>
      <c r="O73" s="188"/>
      <c r="P73" s="97"/>
      <c r="Q73" s="97"/>
      <c r="R73" s="188"/>
      <c r="S73" s="188"/>
      <c r="T73" s="97"/>
      <c r="U73" s="97"/>
      <c r="V73" s="188"/>
      <c r="W73" s="188"/>
      <c r="X73" s="97"/>
      <c r="Y73" s="97"/>
      <c r="Z73" s="188"/>
      <c r="AA73" s="188"/>
      <c r="AB73" s="97"/>
      <c r="AC73" s="97"/>
      <c r="AD73" s="188"/>
      <c r="AE73" s="188"/>
      <c r="AF73" s="97"/>
      <c r="AG73" s="97"/>
      <c r="AH73" s="188"/>
      <c r="AI73" s="188"/>
      <c r="AJ73" s="97"/>
      <c r="AK73" s="97"/>
      <c r="AL73" s="188"/>
      <c r="AM73" s="188"/>
      <c r="AN73" s="97"/>
      <c r="AO73" s="97"/>
      <c r="AP73" s="188"/>
      <c r="AQ73" s="188"/>
      <c r="AR73" s="97"/>
      <c r="AS73" s="97"/>
      <c r="AT73" s="188"/>
      <c r="AU73" s="188"/>
      <c r="AV73" s="97"/>
      <c r="AW73" s="97"/>
      <c r="AX73" s="188"/>
      <c r="AY73" s="188"/>
      <c r="AZ73" s="97"/>
      <c r="BA73" s="97"/>
      <c r="BB73" s="188"/>
      <c r="BC73" s="188"/>
      <c r="BD73" s="97"/>
      <c r="BE73" s="97"/>
      <c r="BF73" s="188"/>
      <c r="BG73" s="188"/>
      <c r="BH73" s="97"/>
      <c r="BI73" s="97"/>
      <c r="BJ73" s="188"/>
      <c r="BK73" s="188"/>
      <c r="BL73" s="180"/>
      <c r="BM73" s="180"/>
      <c r="BN73" s="180"/>
      <c r="BO73" s="180"/>
      <c r="BP73" s="180"/>
      <c r="BQ73" s="180"/>
      <c r="BR73" s="180"/>
      <c r="BS73" s="55" t="s">
        <v>300</v>
      </c>
    </row>
    <row r="74" spans="1:72" ht="25.5">
      <c r="A74" s="11" t="s">
        <v>158</v>
      </c>
      <c r="B74" s="8">
        <f>B2</f>
        <v>5</v>
      </c>
      <c r="C74" s="8" t="s">
        <v>66</v>
      </c>
      <c r="D74" s="64">
        <v>3</v>
      </c>
      <c r="E74" s="29">
        <v>1000</v>
      </c>
      <c r="F74" s="63"/>
      <c r="G74" s="61" t="s">
        <v>262</v>
      </c>
      <c r="H74" s="97"/>
      <c r="I74" s="97"/>
      <c r="J74" s="188"/>
      <c r="K74" s="188"/>
      <c r="L74" s="97"/>
      <c r="M74" s="97"/>
      <c r="N74" s="188"/>
      <c r="O74" s="188"/>
      <c r="P74" s="97"/>
      <c r="Q74" s="97"/>
      <c r="R74" s="188"/>
      <c r="S74" s="188"/>
      <c r="T74" s="97"/>
      <c r="U74" s="97"/>
      <c r="V74" s="188"/>
      <c r="W74" s="188"/>
      <c r="X74" s="97"/>
      <c r="Y74" s="97"/>
      <c r="Z74" s="188"/>
      <c r="AA74" s="188"/>
      <c r="AB74" s="97"/>
      <c r="AC74" s="97"/>
      <c r="AD74" s="188"/>
      <c r="AE74" s="188"/>
      <c r="AF74" s="97"/>
      <c r="AG74" s="97"/>
      <c r="AH74" s="188"/>
      <c r="AI74" s="188"/>
      <c r="AJ74" s="97"/>
      <c r="AK74" s="97"/>
      <c r="AL74" s="188"/>
      <c r="AM74" s="188"/>
      <c r="AN74" s="97"/>
      <c r="AO74" s="97"/>
      <c r="AP74" s="188"/>
      <c r="AQ74" s="188"/>
      <c r="AR74" s="97"/>
      <c r="AS74" s="97"/>
      <c r="AT74" s="188"/>
      <c r="AU74" s="188"/>
      <c r="AV74" s="97"/>
      <c r="AW74" s="97"/>
      <c r="AX74" s="188"/>
      <c r="AY74" s="188"/>
      <c r="AZ74" s="97"/>
      <c r="BA74" s="97"/>
      <c r="BB74" s="188"/>
      <c r="BC74" s="188"/>
      <c r="BD74" s="97"/>
      <c r="BE74" s="97"/>
      <c r="BF74" s="188"/>
      <c r="BG74" s="188"/>
      <c r="BH74" s="97"/>
      <c r="BI74" s="97"/>
      <c r="BJ74" s="188"/>
      <c r="BK74" s="188"/>
      <c r="BL74" s="180"/>
      <c r="BM74" s="180"/>
      <c r="BN74" s="180"/>
      <c r="BO74" s="180"/>
      <c r="BP74" s="180"/>
      <c r="BQ74" s="180"/>
      <c r="BR74" s="180"/>
      <c r="BT74" s="55" t="s">
        <v>300</v>
      </c>
    </row>
    <row r="75" spans="1:72" ht="12.75">
      <c r="A75" s="11" t="s">
        <v>157</v>
      </c>
      <c r="B75" s="8">
        <f>B3</f>
        <v>3</v>
      </c>
      <c r="C75" s="8" t="s">
        <v>66</v>
      </c>
      <c r="D75" s="64">
        <v>3</v>
      </c>
      <c r="E75" s="29">
        <v>800</v>
      </c>
      <c r="F75" s="63"/>
      <c r="G75" s="61" t="s">
        <v>265</v>
      </c>
      <c r="H75" s="97"/>
      <c r="I75" s="97"/>
      <c r="J75" s="188"/>
      <c r="K75" s="188"/>
      <c r="L75" s="97"/>
      <c r="M75" s="97"/>
      <c r="N75" s="188"/>
      <c r="O75" s="188"/>
      <c r="P75" s="97"/>
      <c r="Q75" s="97"/>
      <c r="R75" s="188"/>
      <c r="S75" s="188"/>
      <c r="T75" s="97"/>
      <c r="U75" s="97"/>
      <c r="V75" s="188"/>
      <c r="W75" s="188"/>
      <c r="X75" s="97"/>
      <c r="Y75" s="97"/>
      <c r="Z75" s="188"/>
      <c r="AA75" s="188"/>
      <c r="AB75" s="97"/>
      <c r="AC75" s="97"/>
      <c r="AD75" s="188"/>
      <c r="AE75" s="188"/>
      <c r="AF75" s="97"/>
      <c r="AG75" s="97"/>
      <c r="AH75" s="188"/>
      <c r="AI75" s="188"/>
      <c r="AJ75" s="97"/>
      <c r="AK75" s="97"/>
      <c r="AL75" s="188"/>
      <c r="AM75" s="188"/>
      <c r="AN75" s="97"/>
      <c r="AO75" s="97"/>
      <c r="AP75" s="188"/>
      <c r="AQ75" s="188"/>
      <c r="AR75" s="97"/>
      <c r="AS75" s="97"/>
      <c r="AT75" s="188"/>
      <c r="AU75" s="188"/>
      <c r="AV75" s="97"/>
      <c r="AW75" s="97"/>
      <c r="AX75" s="188"/>
      <c r="AY75" s="188"/>
      <c r="AZ75" s="97"/>
      <c r="BA75" s="97"/>
      <c r="BB75" s="188"/>
      <c r="BC75" s="188"/>
      <c r="BD75" s="97"/>
      <c r="BE75" s="97"/>
      <c r="BF75" s="188"/>
      <c r="BG75" s="188"/>
      <c r="BH75" s="97"/>
      <c r="BI75" s="97"/>
      <c r="BJ75" s="188"/>
      <c r="BK75" s="188"/>
      <c r="BL75" s="180"/>
      <c r="BM75" s="180"/>
      <c r="BN75" s="180"/>
      <c r="BO75" s="180"/>
      <c r="BP75" s="180"/>
      <c r="BQ75" s="180"/>
      <c r="BR75" s="180"/>
      <c r="BT75" s="55" t="s">
        <v>300</v>
      </c>
    </row>
    <row r="76" spans="1:72" ht="12.75">
      <c r="A76" s="11" t="s">
        <v>149</v>
      </c>
      <c r="B76" s="8">
        <f>B4</f>
        <v>52</v>
      </c>
      <c r="C76" s="8" t="s">
        <v>66</v>
      </c>
      <c r="D76" s="64">
        <v>3</v>
      </c>
      <c r="E76" s="29">
        <v>200</v>
      </c>
      <c r="F76" s="63"/>
      <c r="G76" s="61" t="s">
        <v>263</v>
      </c>
      <c r="H76" s="97"/>
      <c r="I76" s="97"/>
      <c r="J76" s="188"/>
      <c r="K76" s="188"/>
      <c r="L76" s="97"/>
      <c r="M76" s="97"/>
      <c r="N76" s="188"/>
      <c r="O76" s="188"/>
      <c r="P76" s="97"/>
      <c r="Q76" s="97"/>
      <c r="R76" s="188"/>
      <c r="S76" s="188"/>
      <c r="T76" s="97"/>
      <c r="U76" s="97"/>
      <c r="V76" s="188"/>
      <c r="W76" s="188"/>
      <c r="X76" s="97"/>
      <c r="Y76" s="97"/>
      <c r="Z76" s="188"/>
      <c r="AA76" s="188"/>
      <c r="AB76" s="97"/>
      <c r="AC76" s="97"/>
      <c r="AD76" s="188"/>
      <c r="AE76" s="188"/>
      <c r="AF76" s="97"/>
      <c r="AG76" s="97"/>
      <c r="AH76" s="188"/>
      <c r="AI76" s="188"/>
      <c r="AJ76" s="97"/>
      <c r="AK76" s="97"/>
      <c r="AL76" s="188"/>
      <c r="AM76" s="188"/>
      <c r="AN76" s="97"/>
      <c r="AO76" s="97"/>
      <c r="AP76" s="188"/>
      <c r="AQ76" s="188"/>
      <c r="AR76" s="97"/>
      <c r="AS76" s="97"/>
      <c r="AT76" s="188"/>
      <c r="AU76" s="188"/>
      <c r="AV76" s="97"/>
      <c r="AW76" s="97"/>
      <c r="AX76" s="188"/>
      <c r="AY76" s="188"/>
      <c r="AZ76" s="97"/>
      <c r="BA76" s="97"/>
      <c r="BB76" s="188"/>
      <c r="BC76" s="188"/>
      <c r="BD76" s="97"/>
      <c r="BE76" s="97"/>
      <c r="BF76" s="188"/>
      <c r="BG76" s="188"/>
      <c r="BH76" s="97"/>
      <c r="BI76" s="97"/>
      <c r="BJ76" s="188"/>
      <c r="BK76" s="188"/>
      <c r="BL76" s="180"/>
      <c r="BM76" s="180"/>
      <c r="BN76" s="180"/>
      <c r="BO76" s="180"/>
      <c r="BP76" s="180"/>
      <c r="BQ76" s="180"/>
      <c r="BR76" s="180"/>
      <c r="BT76" s="55" t="s">
        <v>300</v>
      </c>
    </row>
    <row r="77" spans="1:71" ht="12.75">
      <c r="A77" s="11" t="s">
        <v>78</v>
      </c>
      <c r="B77" s="8">
        <f>B3*20+5*B4</f>
        <v>320</v>
      </c>
      <c r="C77" s="8" t="s">
        <v>66</v>
      </c>
      <c r="D77" s="64">
        <v>1</v>
      </c>
      <c r="E77" s="29">
        <v>20</v>
      </c>
      <c r="F77" s="63">
        <f t="shared" si="3"/>
        <v>6400</v>
      </c>
      <c r="G77" s="61" t="s">
        <v>163</v>
      </c>
      <c r="H77" s="97"/>
      <c r="I77" s="97"/>
      <c r="J77" s="188"/>
      <c r="K77" s="188"/>
      <c r="L77" s="97" t="s">
        <v>376</v>
      </c>
      <c r="M77" s="217">
        <v>2100</v>
      </c>
      <c r="N77" s="188"/>
      <c r="O77" s="188"/>
      <c r="P77" s="97"/>
      <c r="Q77" s="97"/>
      <c r="R77" s="188"/>
      <c r="S77" s="188"/>
      <c r="T77" s="97"/>
      <c r="U77" s="97"/>
      <c r="V77" s="188"/>
      <c r="W77" s="188"/>
      <c r="X77" s="97"/>
      <c r="Y77" s="97"/>
      <c r="Z77" s="188"/>
      <c r="AA77" s="188"/>
      <c r="AB77" s="97"/>
      <c r="AC77" s="97"/>
      <c r="AD77" s="188"/>
      <c r="AE77" s="188"/>
      <c r="AF77" s="97"/>
      <c r="AG77" s="97"/>
      <c r="AH77" s="188"/>
      <c r="AI77" s="188"/>
      <c r="AJ77" s="97"/>
      <c r="AK77" s="97"/>
      <c r="AL77" s="188"/>
      <c r="AM77" s="188"/>
      <c r="AN77" s="97"/>
      <c r="AO77" s="97"/>
      <c r="AP77" s="188"/>
      <c r="AQ77" s="188"/>
      <c r="AR77" s="97"/>
      <c r="AS77" s="97"/>
      <c r="AT77" s="188"/>
      <c r="AU77" s="188"/>
      <c r="AV77" s="97"/>
      <c r="AW77" s="97"/>
      <c r="AX77" s="188"/>
      <c r="AY77" s="188"/>
      <c r="AZ77" s="97"/>
      <c r="BA77" s="97"/>
      <c r="BB77" s="188"/>
      <c r="BC77" s="188"/>
      <c r="BD77" s="97"/>
      <c r="BE77" s="97"/>
      <c r="BF77" s="188"/>
      <c r="BG77" s="188"/>
      <c r="BH77" s="97"/>
      <c r="BI77" s="97"/>
      <c r="BJ77" s="188"/>
      <c r="BK77" s="188"/>
      <c r="BL77" s="180"/>
      <c r="BM77" s="180"/>
      <c r="BN77" s="180"/>
      <c r="BO77" s="180"/>
      <c r="BP77" s="180"/>
      <c r="BQ77" s="180"/>
      <c r="BR77" s="180"/>
      <c r="BS77" s="55" t="s">
        <v>300</v>
      </c>
    </row>
    <row r="78" spans="1:71" ht="12.75">
      <c r="A78" s="79" t="s">
        <v>64</v>
      </c>
      <c r="B78" s="8">
        <f>B3*5</f>
        <v>15</v>
      </c>
      <c r="C78" s="8" t="s">
        <v>13</v>
      </c>
      <c r="D78" s="64">
        <v>7</v>
      </c>
      <c r="E78" s="29">
        <v>200</v>
      </c>
      <c r="F78" s="63">
        <f>E78*D78*B78</f>
        <v>21000</v>
      </c>
      <c r="G78" s="61" t="s">
        <v>86</v>
      </c>
      <c r="H78" s="97"/>
      <c r="I78" s="97"/>
      <c r="J78" s="188"/>
      <c r="K78" s="188"/>
      <c r="L78" s="97" t="s">
        <v>376</v>
      </c>
      <c r="M78" s="217">
        <v>7000</v>
      </c>
      <c r="N78" s="188"/>
      <c r="O78" s="188"/>
      <c r="P78" s="97"/>
      <c r="Q78" s="97"/>
      <c r="R78" s="188"/>
      <c r="S78" s="188"/>
      <c r="T78" s="97"/>
      <c r="U78" s="97"/>
      <c r="V78" s="188"/>
      <c r="W78" s="188"/>
      <c r="X78" s="97"/>
      <c r="Y78" s="97"/>
      <c r="Z78" s="188"/>
      <c r="AA78" s="188"/>
      <c r="AB78" s="97"/>
      <c r="AC78" s="97"/>
      <c r="AD78" s="188"/>
      <c r="AE78" s="188"/>
      <c r="AF78" s="97"/>
      <c r="AG78" s="97"/>
      <c r="AH78" s="188"/>
      <c r="AI78" s="188"/>
      <c r="AJ78" s="97"/>
      <c r="AK78" s="97"/>
      <c r="AL78" s="188"/>
      <c r="AM78" s="188"/>
      <c r="AN78" s="97"/>
      <c r="AO78" s="97"/>
      <c r="AP78" s="188"/>
      <c r="AQ78" s="188"/>
      <c r="AR78" s="97"/>
      <c r="AS78" s="97"/>
      <c r="AT78" s="188"/>
      <c r="AU78" s="188"/>
      <c r="AV78" s="97"/>
      <c r="AW78" s="97"/>
      <c r="AX78" s="188"/>
      <c r="AY78" s="188"/>
      <c r="AZ78" s="97"/>
      <c r="BA78" s="97"/>
      <c r="BB78" s="188"/>
      <c r="BC78" s="188"/>
      <c r="BD78" s="97"/>
      <c r="BE78" s="97"/>
      <c r="BF78" s="188"/>
      <c r="BG78" s="188"/>
      <c r="BH78" s="97"/>
      <c r="BI78" s="97"/>
      <c r="BJ78" s="188"/>
      <c r="BK78" s="188"/>
      <c r="BL78" s="180"/>
      <c r="BM78" s="180"/>
      <c r="BN78" s="180"/>
      <c r="BO78" s="180"/>
      <c r="BP78" s="180"/>
      <c r="BQ78" s="180"/>
      <c r="BR78" s="180"/>
      <c r="BS78" s="55" t="s">
        <v>300</v>
      </c>
    </row>
    <row r="79" spans="1:71" ht="12.75">
      <c r="A79" s="11" t="s">
        <v>150</v>
      </c>
      <c r="B79" s="8">
        <f>(B2+B3)*7</f>
        <v>56</v>
      </c>
      <c r="C79" s="8" t="s">
        <v>14</v>
      </c>
      <c r="D79" s="64">
        <v>1</v>
      </c>
      <c r="E79" s="29">
        <v>30</v>
      </c>
      <c r="F79" s="63">
        <f t="shared" si="3"/>
        <v>1680</v>
      </c>
      <c r="G79" s="61" t="s">
        <v>151</v>
      </c>
      <c r="H79" s="97"/>
      <c r="I79" s="97"/>
      <c r="J79" s="188"/>
      <c r="K79" s="188"/>
      <c r="L79" s="97" t="s">
        <v>376</v>
      </c>
      <c r="M79" s="97">
        <v>560</v>
      </c>
      <c r="N79" s="188"/>
      <c r="O79" s="188"/>
      <c r="P79" s="97"/>
      <c r="Q79" s="97"/>
      <c r="R79" s="188"/>
      <c r="S79" s="188"/>
      <c r="T79" s="97"/>
      <c r="U79" s="97"/>
      <c r="V79" s="188"/>
      <c r="W79" s="188"/>
      <c r="X79" s="97"/>
      <c r="Y79" s="97"/>
      <c r="Z79" s="188"/>
      <c r="AA79" s="188"/>
      <c r="AB79" s="97"/>
      <c r="AC79" s="97"/>
      <c r="AD79" s="188"/>
      <c r="AE79" s="188"/>
      <c r="AF79" s="97"/>
      <c r="AG79" s="97"/>
      <c r="AH79" s="188"/>
      <c r="AI79" s="188"/>
      <c r="AJ79" s="97"/>
      <c r="AK79" s="97"/>
      <c r="AL79" s="188"/>
      <c r="AM79" s="188"/>
      <c r="AN79" s="97"/>
      <c r="AO79" s="97"/>
      <c r="AP79" s="188"/>
      <c r="AQ79" s="188"/>
      <c r="AR79" s="97"/>
      <c r="AS79" s="97"/>
      <c r="AT79" s="188"/>
      <c r="AU79" s="188"/>
      <c r="AV79" s="97"/>
      <c r="AW79" s="97"/>
      <c r="AX79" s="188"/>
      <c r="AY79" s="188"/>
      <c r="AZ79" s="97"/>
      <c r="BA79" s="97"/>
      <c r="BB79" s="188"/>
      <c r="BC79" s="188"/>
      <c r="BD79" s="97"/>
      <c r="BE79" s="97"/>
      <c r="BF79" s="188"/>
      <c r="BG79" s="188"/>
      <c r="BH79" s="97"/>
      <c r="BI79" s="97"/>
      <c r="BJ79" s="188"/>
      <c r="BK79" s="188"/>
      <c r="BL79" s="180"/>
      <c r="BM79" s="180"/>
      <c r="BN79" s="180"/>
      <c r="BO79" s="180"/>
      <c r="BP79" s="180"/>
      <c r="BQ79" s="180"/>
      <c r="BR79" s="180"/>
      <c r="BS79" s="55" t="s">
        <v>300</v>
      </c>
    </row>
    <row r="80" spans="1:71" ht="12.75">
      <c r="A80" s="11" t="s">
        <v>53</v>
      </c>
      <c r="B80" s="8">
        <f>B1/4*1.5</f>
        <v>48750</v>
      </c>
      <c r="C80" s="8" t="s">
        <v>80</v>
      </c>
      <c r="D80" s="64">
        <v>1</v>
      </c>
      <c r="E80" s="29">
        <v>6</v>
      </c>
      <c r="F80" s="63">
        <f t="shared" si="3"/>
        <v>292500</v>
      </c>
      <c r="G80" s="61" t="s">
        <v>174</v>
      </c>
      <c r="H80" s="97"/>
      <c r="I80" s="97"/>
      <c r="J80" s="188"/>
      <c r="K80" s="188"/>
      <c r="L80" s="97" t="s">
        <v>376</v>
      </c>
      <c r="M80" s="217">
        <v>48000</v>
      </c>
      <c r="N80" s="188"/>
      <c r="O80" s="188"/>
      <c r="P80" s="97"/>
      <c r="Q80" s="97"/>
      <c r="R80" s="188"/>
      <c r="S80" s="188"/>
      <c r="T80" s="97"/>
      <c r="U80" s="97"/>
      <c r="V80" s="188"/>
      <c r="W80" s="188"/>
      <c r="X80" s="97"/>
      <c r="Y80" s="97"/>
      <c r="Z80" s="188"/>
      <c r="AA80" s="188"/>
      <c r="AB80" s="97"/>
      <c r="AC80" s="97"/>
      <c r="AD80" s="188"/>
      <c r="AE80" s="188"/>
      <c r="AF80" s="97"/>
      <c r="AG80" s="97"/>
      <c r="AH80" s="188"/>
      <c r="AI80" s="188"/>
      <c r="AJ80" s="97"/>
      <c r="AK80" s="97"/>
      <c r="AL80" s="188"/>
      <c r="AM80" s="188"/>
      <c r="AN80" s="97"/>
      <c r="AO80" s="97"/>
      <c r="AP80" s="188"/>
      <c r="AQ80" s="188"/>
      <c r="AR80" s="97"/>
      <c r="AS80" s="97"/>
      <c r="AT80" s="188"/>
      <c r="AU80" s="188"/>
      <c r="AV80" s="97"/>
      <c r="AW80" s="97"/>
      <c r="AX80" s="188"/>
      <c r="AY80" s="188"/>
      <c r="AZ80" s="97"/>
      <c r="BA80" s="97"/>
      <c r="BB80" s="188"/>
      <c r="BC80" s="188"/>
      <c r="BD80" s="97"/>
      <c r="BE80" s="97"/>
      <c r="BF80" s="188"/>
      <c r="BG80" s="188"/>
      <c r="BH80" s="97"/>
      <c r="BI80" s="97"/>
      <c r="BJ80" s="188"/>
      <c r="BK80" s="188"/>
      <c r="BL80" s="180"/>
      <c r="BM80" s="180"/>
      <c r="BN80" s="180"/>
      <c r="BO80" s="180"/>
      <c r="BP80" s="180"/>
      <c r="BQ80" s="180"/>
      <c r="BR80" s="180"/>
      <c r="BS80" s="55" t="s">
        <v>300</v>
      </c>
    </row>
    <row r="81" spans="1:71" ht="25.5">
      <c r="A81" s="11" t="s">
        <v>81</v>
      </c>
      <c r="B81" s="8">
        <f>B2*20+B3*20+B4*3</f>
        <v>316</v>
      </c>
      <c r="C81" s="8" t="s">
        <v>11</v>
      </c>
      <c r="D81" s="64">
        <v>3</v>
      </c>
      <c r="E81" s="29">
        <v>2</v>
      </c>
      <c r="F81" s="63">
        <f t="shared" si="3"/>
        <v>1896</v>
      </c>
      <c r="G81" s="61" t="s">
        <v>152</v>
      </c>
      <c r="H81" s="97"/>
      <c r="I81" s="97"/>
      <c r="J81" s="188"/>
      <c r="K81" s="188"/>
      <c r="L81" s="97" t="s">
        <v>376</v>
      </c>
      <c r="M81" s="97">
        <v>600</v>
      </c>
      <c r="N81" s="188"/>
      <c r="O81" s="188"/>
      <c r="P81" s="97"/>
      <c r="Q81" s="97"/>
      <c r="R81" s="188"/>
      <c r="S81" s="188"/>
      <c r="T81" s="97"/>
      <c r="U81" s="97"/>
      <c r="V81" s="188"/>
      <c r="W81" s="188"/>
      <c r="X81" s="97"/>
      <c r="Y81" s="97"/>
      <c r="Z81" s="188"/>
      <c r="AA81" s="188"/>
      <c r="AB81" s="97"/>
      <c r="AC81" s="97"/>
      <c r="AD81" s="188"/>
      <c r="AE81" s="188"/>
      <c r="AF81" s="97"/>
      <c r="AG81" s="97"/>
      <c r="AH81" s="188"/>
      <c r="AI81" s="188"/>
      <c r="AJ81" s="97"/>
      <c r="AK81" s="97"/>
      <c r="AL81" s="188"/>
      <c r="AM81" s="188"/>
      <c r="AN81" s="97"/>
      <c r="AO81" s="97"/>
      <c r="AP81" s="188"/>
      <c r="AQ81" s="188"/>
      <c r="AR81" s="97"/>
      <c r="AS81" s="97"/>
      <c r="AT81" s="188"/>
      <c r="AU81" s="188"/>
      <c r="AV81" s="97"/>
      <c r="AW81" s="97"/>
      <c r="AX81" s="188"/>
      <c r="AY81" s="188"/>
      <c r="AZ81" s="97"/>
      <c r="BA81" s="97"/>
      <c r="BB81" s="188"/>
      <c r="BC81" s="188"/>
      <c r="BD81" s="97"/>
      <c r="BE81" s="97"/>
      <c r="BF81" s="188"/>
      <c r="BG81" s="188"/>
      <c r="BH81" s="97"/>
      <c r="BI81" s="97"/>
      <c r="BJ81" s="188"/>
      <c r="BK81" s="188"/>
      <c r="BL81" s="180"/>
      <c r="BM81" s="180"/>
      <c r="BN81" s="180"/>
      <c r="BO81" s="180"/>
      <c r="BP81" s="180"/>
      <c r="BQ81" s="180"/>
      <c r="BR81" s="180"/>
      <c r="BS81" s="55" t="s">
        <v>300</v>
      </c>
    </row>
    <row r="82" spans="1:71" ht="25.5">
      <c r="A82" s="11" t="s">
        <v>82</v>
      </c>
      <c r="B82" s="8">
        <f>B77</f>
        <v>320</v>
      </c>
      <c r="C82" s="8" t="s">
        <v>8</v>
      </c>
      <c r="D82" s="64">
        <v>1</v>
      </c>
      <c r="E82" s="29">
        <v>15</v>
      </c>
      <c r="F82" s="63">
        <f t="shared" si="3"/>
        <v>4800</v>
      </c>
      <c r="G82" s="61"/>
      <c r="H82" s="97"/>
      <c r="I82" s="97"/>
      <c r="J82" s="188"/>
      <c r="K82" s="188"/>
      <c r="L82" s="97" t="s">
        <v>376</v>
      </c>
      <c r="M82" s="217">
        <v>1600</v>
      </c>
      <c r="N82" s="188"/>
      <c r="O82" s="188"/>
      <c r="P82" s="97"/>
      <c r="Q82" s="97"/>
      <c r="R82" s="188"/>
      <c r="S82" s="188"/>
      <c r="T82" s="97"/>
      <c r="U82" s="97"/>
      <c r="V82" s="188"/>
      <c r="W82" s="188"/>
      <c r="X82" s="97"/>
      <c r="Y82" s="97"/>
      <c r="Z82" s="188"/>
      <c r="AA82" s="188"/>
      <c r="AB82" s="97"/>
      <c r="AC82" s="97"/>
      <c r="AD82" s="188"/>
      <c r="AE82" s="188"/>
      <c r="AF82" s="97"/>
      <c r="AG82" s="97"/>
      <c r="AH82" s="188"/>
      <c r="AI82" s="188"/>
      <c r="AJ82" s="97"/>
      <c r="AK82" s="97"/>
      <c r="AL82" s="188"/>
      <c r="AM82" s="188"/>
      <c r="AN82" s="97"/>
      <c r="AO82" s="97"/>
      <c r="AP82" s="188"/>
      <c r="AQ82" s="188"/>
      <c r="AR82" s="97"/>
      <c r="AS82" s="97"/>
      <c r="AT82" s="188"/>
      <c r="AU82" s="188"/>
      <c r="AV82" s="97"/>
      <c r="AW82" s="97"/>
      <c r="AX82" s="188"/>
      <c r="AY82" s="188"/>
      <c r="AZ82" s="97"/>
      <c r="BA82" s="97"/>
      <c r="BB82" s="188"/>
      <c r="BC82" s="188"/>
      <c r="BD82" s="97"/>
      <c r="BE82" s="97"/>
      <c r="BF82" s="188"/>
      <c r="BG82" s="188"/>
      <c r="BH82" s="97"/>
      <c r="BI82" s="97"/>
      <c r="BJ82" s="188"/>
      <c r="BK82" s="188"/>
      <c r="BL82" s="180"/>
      <c r="BM82" s="180"/>
      <c r="BN82" s="180"/>
      <c r="BO82" s="180"/>
      <c r="BP82" s="180"/>
      <c r="BQ82" s="180"/>
      <c r="BR82" s="180"/>
      <c r="BS82" s="55" t="s">
        <v>300</v>
      </c>
    </row>
    <row r="83" spans="1:71" ht="12.75">
      <c r="A83" s="79" t="s">
        <v>83</v>
      </c>
      <c r="B83" s="8">
        <f>B3*5000*5/1000+B4*40*5/1000</f>
        <v>85.4</v>
      </c>
      <c r="C83" s="8" t="s">
        <v>65</v>
      </c>
      <c r="D83" s="64">
        <f>6*25</f>
        <v>150</v>
      </c>
      <c r="E83" s="29">
        <v>3.5</v>
      </c>
      <c r="F83" s="63">
        <f t="shared" si="3"/>
        <v>44835</v>
      </c>
      <c r="G83" s="61" t="s">
        <v>153</v>
      </c>
      <c r="H83" s="97"/>
      <c r="I83" s="97"/>
      <c r="J83" s="188"/>
      <c r="K83" s="188"/>
      <c r="L83" s="97"/>
      <c r="M83" s="97"/>
      <c r="N83" s="188"/>
      <c r="O83" s="188"/>
      <c r="P83" s="97"/>
      <c r="Q83" s="97"/>
      <c r="R83" s="188"/>
      <c r="S83" s="188"/>
      <c r="T83" s="97"/>
      <c r="U83" s="97"/>
      <c r="V83" s="188"/>
      <c r="W83" s="188"/>
      <c r="X83" s="97"/>
      <c r="Y83" s="97"/>
      <c r="Z83" s="188"/>
      <c r="AA83" s="188"/>
      <c r="AB83" s="97"/>
      <c r="AC83" s="97"/>
      <c r="AD83" s="188"/>
      <c r="AE83" s="188"/>
      <c r="AF83" s="97"/>
      <c r="AG83" s="97"/>
      <c r="AH83" s="188"/>
      <c r="AI83" s="188"/>
      <c r="AJ83" s="97"/>
      <c r="AK83" s="97"/>
      <c r="AL83" s="188"/>
      <c r="AM83" s="188"/>
      <c r="AN83" s="97"/>
      <c r="AO83" s="97"/>
      <c r="AP83" s="188"/>
      <c r="AQ83" s="188"/>
      <c r="AR83" s="97"/>
      <c r="AS83" s="97"/>
      <c r="AT83" s="188"/>
      <c r="AU83" s="188"/>
      <c r="AV83" s="97"/>
      <c r="AW83" s="97"/>
      <c r="AX83" s="188"/>
      <c r="AY83" s="188"/>
      <c r="AZ83" s="97"/>
      <c r="BA83" s="97"/>
      <c r="BB83" s="188"/>
      <c r="BC83" s="188"/>
      <c r="BD83" s="97"/>
      <c r="BE83" s="97"/>
      <c r="BF83" s="188"/>
      <c r="BG83" s="188"/>
      <c r="BH83" s="97"/>
      <c r="BI83" s="97"/>
      <c r="BJ83" s="188"/>
      <c r="BK83" s="188"/>
      <c r="BL83" s="180"/>
      <c r="BM83" s="180"/>
      <c r="BN83" s="180"/>
      <c r="BO83" s="180"/>
      <c r="BP83" s="180"/>
      <c r="BQ83" s="180"/>
      <c r="BR83" s="180"/>
      <c r="BS83" s="55" t="s">
        <v>300</v>
      </c>
    </row>
    <row r="84" spans="1:71" ht="25.5">
      <c r="A84" s="79" t="s">
        <v>84</v>
      </c>
      <c r="B84" s="8">
        <f>B2*500*60/1000</f>
        <v>150</v>
      </c>
      <c r="C84" s="8" t="s">
        <v>65</v>
      </c>
      <c r="D84" s="64">
        <f>6*30</f>
        <v>180</v>
      </c>
      <c r="E84" s="29">
        <v>3.5</v>
      </c>
      <c r="F84" s="63">
        <f>E84*D84*B84</f>
        <v>94500</v>
      </c>
      <c r="G84" s="61" t="s">
        <v>258</v>
      </c>
      <c r="H84" s="97"/>
      <c r="I84" s="97"/>
      <c r="J84" s="188"/>
      <c r="K84" s="188"/>
      <c r="L84" s="97"/>
      <c r="M84" s="97"/>
      <c r="N84" s="188"/>
      <c r="O84" s="188"/>
      <c r="P84" s="97"/>
      <c r="Q84" s="97"/>
      <c r="R84" s="188"/>
      <c r="S84" s="188"/>
      <c r="T84" s="97"/>
      <c r="U84" s="97"/>
      <c r="V84" s="188"/>
      <c r="W84" s="188"/>
      <c r="X84" s="97"/>
      <c r="Y84" s="97"/>
      <c r="Z84" s="188"/>
      <c r="AA84" s="188"/>
      <c r="AB84" s="97"/>
      <c r="AC84" s="97"/>
      <c r="AD84" s="188"/>
      <c r="AE84" s="188"/>
      <c r="AF84" s="97"/>
      <c r="AG84" s="97"/>
      <c r="AH84" s="188"/>
      <c r="AI84" s="188"/>
      <c r="AJ84" s="97"/>
      <c r="AK84" s="97"/>
      <c r="AL84" s="188"/>
      <c r="AM84" s="188"/>
      <c r="AN84" s="97"/>
      <c r="AO84" s="97"/>
      <c r="AP84" s="188"/>
      <c r="AQ84" s="188"/>
      <c r="AR84" s="97"/>
      <c r="AS84" s="97"/>
      <c r="AT84" s="188"/>
      <c r="AU84" s="188"/>
      <c r="AV84" s="97"/>
      <c r="AW84" s="97"/>
      <c r="AX84" s="188"/>
      <c r="AY84" s="188"/>
      <c r="AZ84" s="97"/>
      <c r="BA84" s="97"/>
      <c r="BB84" s="188"/>
      <c r="BC84" s="188"/>
      <c r="BD84" s="97"/>
      <c r="BE84" s="97"/>
      <c r="BF84" s="188"/>
      <c r="BG84" s="188"/>
      <c r="BH84" s="97"/>
      <c r="BI84" s="97"/>
      <c r="BJ84" s="188"/>
      <c r="BK84" s="188"/>
      <c r="BL84" s="180"/>
      <c r="BM84" s="180"/>
      <c r="BN84" s="180"/>
      <c r="BO84" s="180"/>
      <c r="BP84" s="180"/>
      <c r="BQ84" s="180"/>
      <c r="BR84" s="180"/>
      <c r="BS84" s="55" t="s">
        <v>300</v>
      </c>
    </row>
    <row r="85" spans="1:70" ht="12.75">
      <c r="A85" s="79"/>
      <c r="B85" s="8"/>
      <c r="C85" s="8"/>
      <c r="D85" s="64"/>
      <c r="E85" s="29"/>
      <c r="F85" s="63">
        <f t="shared" si="3"/>
        <v>0</v>
      </c>
      <c r="G85" s="61"/>
      <c r="H85" s="97"/>
      <c r="I85" s="97"/>
      <c r="J85" s="188"/>
      <c r="K85" s="188"/>
      <c r="L85" s="97"/>
      <c r="M85" s="97"/>
      <c r="N85" s="188"/>
      <c r="O85" s="188"/>
      <c r="P85" s="97"/>
      <c r="Q85" s="97"/>
      <c r="R85" s="188"/>
      <c r="S85" s="188"/>
      <c r="T85" s="97"/>
      <c r="U85" s="97"/>
      <c r="V85" s="188"/>
      <c r="W85" s="188"/>
      <c r="X85" s="97"/>
      <c r="Y85" s="97"/>
      <c r="Z85" s="188"/>
      <c r="AA85" s="188"/>
      <c r="AB85" s="97"/>
      <c r="AC85" s="97"/>
      <c r="AD85" s="188"/>
      <c r="AE85" s="188"/>
      <c r="AF85" s="97"/>
      <c r="AG85" s="97"/>
      <c r="AH85" s="188"/>
      <c r="AI85" s="188"/>
      <c r="AJ85" s="97"/>
      <c r="AK85" s="97"/>
      <c r="AL85" s="188"/>
      <c r="AM85" s="188"/>
      <c r="AN85" s="97"/>
      <c r="AO85" s="97"/>
      <c r="AP85" s="188"/>
      <c r="AQ85" s="188"/>
      <c r="AR85" s="97"/>
      <c r="AS85" s="97"/>
      <c r="AT85" s="188"/>
      <c r="AU85" s="188"/>
      <c r="AV85" s="97"/>
      <c r="AW85" s="97"/>
      <c r="AX85" s="188"/>
      <c r="AY85" s="188"/>
      <c r="AZ85" s="97"/>
      <c r="BA85" s="97"/>
      <c r="BB85" s="188"/>
      <c r="BC85" s="188"/>
      <c r="BD85" s="97"/>
      <c r="BE85" s="97"/>
      <c r="BF85" s="188"/>
      <c r="BG85" s="188"/>
      <c r="BH85" s="97"/>
      <c r="BI85" s="97"/>
      <c r="BJ85" s="188"/>
      <c r="BK85" s="188"/>
      <c r="BL85" s="180"/>
      <c r="BM85" s="180"/>
      <c r="BN85" s="180"/>
      <c r="BO85" s="180"/>
      <c r="BP85" s="180"/>
      <c r="BQ85" s="180"/>
      <c r="BR85" s="180"/>
    </row>
    <row r="86" spans="1:70" ht="12.75">
      <c r="A86" s="79"/>
      <c r="B86" s="8"/>
      <c r="C86" s="8"/>
      <c r="D86" s="64"/>
      <c r="E86" s="29"/>
      <c r="F86" s="63">
        <f t="shared" si="3"/>
        <v>0</v>
      </c>
      <c r="G86" s="61"/>
      <c r="H86" s="97"/>
      <c r="I86" s="97"/>
      <c r="J86" s="188"/>
      <c r="K86" s="188"/>
      <c r="L86" s="97"/>
      <c r="M86" s="97"/>
      <c r="N86" s="188"/>
      <c r="O86" s="188"/>
      <c r="P86" s="97"/>
      <c r="Q86" s="97"/>
      <c r="R86" s="188"/>
      <c r="S86" s="188"/>
      <c r="T86" s="97"/>
      <c r="U86" s="97"/>
      <c r="V86" s="188"/>
      <c r="W86" s="188"/>
      <c r="X86" s="97"/>
      <c r="Y86" s="97"/>
      <c r="Z86" s="188"/>
      <c r="AA86" s="188"/>
      <c r="AB86" s="97"/>
      <c r="AC86" s="97"/>
      <c r="AD86" s="188"/>
      <c r="AE86" s="188"/>
      <c r="AF86" s="97"/>
      <c r="AG86" s="97"/>
      <c r="AH86" s="188"/>
      <c r="AI86" s="188"/>
      <c r="AJ86" s="97"/>
      <c r="AK86" s="97"/>
      <c r="AL86" s="188"/>
      <c r="AM86" s="188"/>
      <c r="AN86" s="97"/>
      <c r="AO86" s="97"/>
      <c r="AP86" s="188"/>
      <c r="AQ86" s="188"/>
      <c r="AR86" s="97"/>
      <c r="AS86" s="97"/>
      <c r="AT86" s="188"/>
      <c r="AU86" s="188"/>
      <c r="AV86" s="97"/>
      <c r="AW86" s="97"/>
      <c r="AX86" s="188"/>
      <c r="AY86" s="188"/>
      <c r="AZ86" s="97"/>
      <c r="BA86" s="97"/>
      <c r="BB86" s="188"/>
      <c r="BC86" s="188"/>
      <c r="BD86" s="97"/>
      <c r="BE86" s="97"/>
      <c r="BF86" s="188"/>
      <c r="BG86" s="188"/>
      <c r="BH86" s="97"/>
      <c r="BI86" s="97"/>
      <c r="BJ86" s="188"/>
      <c r="BK86" s="188"/>
      <c r="BL86" s="180"/>
      <c r="BM86" s="180"/>
      <c r="BN86" s="180"/>
      <c r="BO86" s="180"/>
      <c r="BP86" s="180"/>
      <c r="BQ86" s="180"/>
      <c r="BR86" s="180"/>
    </row>
    <row r="87" spans="1:70" ht="12.75">
      <c r="A87" s="133"/>
      <c r="B87" s="134"/>
      <c r="C87" s="135"/>
      <c r="D87" s="122"/>
      <c r="E87" s="123"/>
      <c r="F87" s="124">
        <f t="shared" si="3"/>
        <v>0</v>
      </c>
      <c r="G87" s="125"/>
      <c r="H87" s="97"/>
      <c r="I87" s="97"/>
      <c r="J87" s="188"/>
      <c r="K87" s="188"/>
      <c r="L87" s="97"/>
      <c r="M87" s="97"/>
      <c r="N87" s="188"/>
      <c r="O87" s="188"/>
      <c r="P87" s="97"/>
      <c r="Q87" s="97"/>
      <c r="R87" s="188"/>
      <c r="S87" s="188"/>
      <c r="T87" s="97"/>
      <c r="U87" s="97"/>
      <c r="V87" s="188"/>
      <c r="W87" s="188"/>
      <c r="X87" s="97"/>
      <c r="Y87" s="97"/>
      <c r="Z87" s="188"/>
      <c r="AA87" s="188"/>
      <c r="AB87" s="97"/>
      <c r="AC87" s="97"/>
      <c r="AD87" s="188"/>
      <c r="AE87" s="188"/>
      <c r="AF87" s="97"/>
      <c r="AG87" s="97"/>
      <c r="AH87" s="188"/>
      <c r="AI87" s="188"/>
      <c r="AJ87" s="97"/>
      <c r="AK87" s="97"/>
      <c r="AL87" s="188"/>
      <c r="AM87" s="188"/>
      <c r="AN87" s="97"/>
      <c r="AO87" s="97"/>
      <c r="AP87" s="188"/>
      <c r="AQ87" s="188"/>
      <c r="AR87" s="97"/>
      <c r="AS87" s="97"/>
      <c r="AT87" s="188"/>
      <c r="AU87" s="188"/>
      <c r="AV87" s="97"/>
      <c r="AW87" s="97"/>
      <c r="AX87" s="188"/>
      <c r="AY87" s="188"/>
      <c r="AZ87" s="97"/>
      <c r="BA87" s="97"/>
      <c r="BB87" s="188"/>
      <c r="BC87" s="188"/>
      <c r="BD87" s="97"/>
      <c r="BE87" s="97"/>
      <c r="BF87" s="188"/>
      <c r="BG87" s="188"/>
      <c r="BH87" s="97"/>
      <c r="BI87" s="97"/>
      <c r="BJ87" s="188"/>
      <c r="BK87" s="188"/>
      <c r="BL87" s="180"/>
      <c r="BM87" s="180"/>
      <c r="BN87" s="180"/>
      <c r="BO87" s="180"/>
      <c r="BP87" s="180"/>
      <c r="BQ87" s="180"/>
      <c r="BR87" s="180"/>
    </row>
    <row r="88" spans="1:70" ht="12.75">
      <c r="A88" s="132" t="s">
        <v>33</v>
      </c>
      <c r="B88" s="132"/>
      <c r="C88" s="132"/>
      <c r="D88" s="52"/>
      <c r="E88" s="52"/>
      <c r="F88" s="58">
        <f>SUM(F89:F91)</f>
        <v>250000</v>
      </c>
      <c r="G88" s="52"/>
      <c r="H88" s="52"/>
      <c r="I88" s="52"/>
      <c r="J88" s="58">
        <f>SUM(J89:J91)</f>
        <v>0</v>
      </c>
      <c r="K88" s="52"/>
      <c r="L88" s="52"/>
      <c r="M88" s="58">
        <f>SUM(M89:M91)</f>
        <v>0</v>
      </c>
      <c r="N88" s="58">
        <f>SUM(N89:N91)</f>
        <v>0</v>
      </c>
      <c r="O88" s="52"/>
      <c r="P88" s="52"/>
      <c r="Q88" s="52"/>
      <c r="R88" s="58">
        <f>SUM(R89:R91)</f>
        <v>0</v>
      </c>
      <c r="S88" s="52"/>
      <c r="T88" s="52"/>
      <c r="U88" s="52"/>
      <c r="V88" s="58">
        <f>SUM(V89:V91)</f>
        <v>0</v>
      </c>
      <c r="W88" s="52"/>
      <c r="X88" s="52"/>
      <c r="Y88" s="52"/>
      <c r="Z88" s="58">
        <f>SUM(Z89:Z91)</f>
        <v>0</v>
      </c>
      <c r="AA88" s="52"/>
      <c r="AB88" s="52"/>
      <c r="AC88" s="52"/>
      <c r="AD88" s="58">
        <f>SUM(AD89:AD91)</f>
        <v>0</v>
      </c>
      <c r="AE88" s="52"/>
      <c r="AF88" s="52"/>
      <c r="AG88" s="52"/>
      <c r="AH88" s="58">
        <f>SUM(AH89:AH91)</f>
        <v>0</v>
      </c>
      <c r="AI88" s="52"/>
      <c r="AJ88" s="52"/>
      <c r="AK88" s="52"/>
      <c r="AL88" s="58">
        <f>SUM(AL89:AL91)</f>
        <v>0</v>
      </c>
      <c r="AM88" s="52"/>
      <c r="AN88" s="52"/>
      <c r="AO88" s="52"/>
      <c r="AP88" s="58">
        <f>SUM(AP89:AP91)</f>
        <v>0</v>
      </c>
      <c r="AQ88" s="52"/>
      <c r="AR88" s="52"/>
      <c r="AS88" s="52"/>
      <c r="AT88" s="58">
        <f>SUM(AT89:AT91)</f>
        <v>0</v>
      </c>
      <c r="AU88" s="52"/>
      <c r="AV88" s="52"/>
      <c r="AW88" s="52"/>
      <c r="AX88" s="58">
        <f>SUM(AX89:AX91)</f>
        <v>0</v>
      </c>
      <c r="AY88" s="52"/>
      <c r="AZ88" s="52"/>
      <c r="BA88" s="52"/>
      <c r="BB88" s="58">
        <f>SUM(BB89:BB91)</f>
        <v>0</v>
      </c>
      <c r="BC88" s="52"/>
      <c r="BD88" s="52"/>
      <c r="BE88" s="52"/>
      <c r="BF88" s="58">
        <f>SUM(BF89:BF91)</f>
        <v>0</v>
      </c>
      <c r="BG88" s="52"/>
      <c r="BH88" s="52"/>
      <c r="BI88" s="52"/>
      <c r="BJ88" s="58">
        <f>SUM(BJ89:BJ91)</f>
        <v>0</v>
      </c>
      <c r="BK88" s="52"/>
      <c r="BL88" s="183"/>
      <c r="BM88" s="183"/>
      <c r="BN88" s="183"/>
      <c r="BO88" s="183"/>
      <c r="BP88" s="183"/>
      <c r="BQ88" s="183"/>
      <c r="BR88" s="183"/>
    </row>
    <row r="89" spans="1:70" ht="25.5">
      <c r="A89" s="136" t="s">
        <v>101</v>
      </c>
      <c r="B89" s="137">
        <v>1</v>
      </c>
      <c r="C89" s="138"/>
      <c r="D89" s="59">
        <v>1</v>
      </c>
      <c r="E89" s="28">
        <v>250000</v>
      </c>
      <c r="F89" s="60">
        <f>E89*D89*B89</f>
        <v>250000</v>
      </c>
      <c r="G89" s="108" t="s">
        <v>142</v>
      </c>
      <c r="H89" s="97"/>
      <c r="I89" s="97"/>
      <c r="J89" s="188"/>
      <c r="K89" s="188"/>
      <c r="L89" s="97"/>
      <c r="M89" s="97"/>
      <c r="N89" s="188"/>
      <c r="O89" s="188"/>
      <c r="P89" s="97"/>
      <c r="Q89" s="97"/>
      <c r="R89" s="188"/>
      <c r="S89" s="188"/>
      <c r="T89" s="97"/>
      <c r="U89" s="97"/>
      <c r="V89" s="188"/>
      <c r="W89" s="188"/>
      <c r="X89" s="97"/>
      <c r="Y89" s="97"/>
      <c r="Z89" s="188"/>
      <c r="AA89" s="188"/>
      <c r="AB89" s="97"/>
      <c r="AC89" s="97"/>
      <c r="AD89" s="188"/>
      <c r="AE89" s="188"/>
      <c r="AF89" s="97"/>
      <c r="AG89" s="97"/>
      <c r="AH89" s="188"/>
      <c r="AI89" s="188"/>
      <c r="AJ89" s="97"/>
      <c r="AK89" s="97"/>
      <c r="AL89" s="188"/>
      <c r="AM89" s="188"/>
      <c r="AN89" s="97"/>
      <c r="AO89" s="97"/>
      <c r="AP89" s="188"/>
      <c r="AQ89" s="188"/>
      <c r="AR89" s="97"/>
      <c r="AS89" s="97"/>
      <c r="AT89" s="188"/>
      <c r="AU89" s="188"/>
      <c r="AV89" s="97"/>
      <c r="AW89" s="97"/>
      <c r="AX89" s="188"/>
      <c r="AY89" s="188"/>
      <c r="AZ89" s="97"/>
      <c r="BA89" s="97"/>
      <c r="BB89" s="188"/>
      <c r="BC89" s="188"/>
      <c r="BD89" s="97"/>
      <c r="BE89" s="97"/>
      <c r="BF89" s="188"/>
      <c r="BG89" s="188"/>
      <c r="BH89" s="97"/>
      <c r="BI89" s="97"/>
      <c r="BJ89" s="188"/>
      <c r="BK89" s="188"/>
      <c r="BL89" s="180"/>
      <c r="BM89" s="180"/>
      <c r="BN89" s="180"/>
      <c r="BO89" s="180"/>
      <c r="BP89" s="180"/>
      <c r="BQ89" s="180"/>
      <c r="BR89" s="180"/>
    </row>
    <row r="90" spans="1:70" ht="38.25">
      <c r="A90" s="105" t="s">
        <v>127</v>
      </c>
      <c r="B90" s="6">
        <f>F3</f>
        <v>0</v>
      </c>
      <c r="C90" s="40" t="s">
        <v>105</v>
      </c>
      <c r="D90" s="64">
        <v>3</v>
      </c>
      <c r="E90" s="38">
        <f>(F67+F50+F30+F9)/B1/7</f>
        <v>39.685519780219785</v>
      </c>
      <c r="F90" s="63">
        <f>E90*D90*B90</f>
        <v>0</v>
      </c>
      <c r="G90" s="61" t="s">
        <v>214</v>
      </c>
      <c r="H90" s="97"/>
      <c r="I90" s="97"/>
      <c r="J90" s="188"/>
      <c r="K90" s="188"/>
      <c r="L90" s="97"/>
      <c r="M90" s="97"/>
      <c r="N90" s="188"/>
      <c r="O90" s="188"/>
      <c r="P90" s="97"/>
      <c r="Q90" s="97"/>
      <c r="R90" s="188"/>
      <c r="S90" s="188"/>
      <c r="T90" s="97"/>
      <c r="U90" s="97"/>
      <c r="V90" s="188"/>
      <c r="W90" s="188"/>
      <c r="X90" s="97"/>
      <c r="Y90" s="97"/>
      <c r="Z90" s="188"/>
      <c r="AA90" s="188"/>
      <c r="AB90" s="97"/>
      <c r="AC90" s="97"/>
      <c r="AD90" s="188"/>
      <c r="AE90" s="188"/>
      <c r="AF90" s="97"/>
      <c r="AG90" s="97"/>
      <c r="AH90" s="188"/>
      <c r="AI90" s="188"/>
      <c r="AJ90" s="97"/>
      <c r="AK90" s="97"/>
      <c r="AL90" s="188"/>
      <c r="AM90" s="188"/>
      <c r="AN90" s="97"/>
      <c r="AO90" s="97"/>
      <c r="AP90" s="188"/>
      <c r="AQ90" s="188"/>
      <c r="AR90" s="97"/>
      <c r="AS90" s="97"/>
      <c r="AT90" s="188"/>
      <c r="AU90" s="188"/>
      <c r="AV90" s="97"/>
      <c r="AW90" s="97"/>
      <c r="AX90" s="188"/>
      <c r="AY90" s="188"/>
      <c r="AZ90" s="97"/>
      <c r="BA90" s="97"/>
      <c r="BB90" s="188"/>
      <c r="BC90" s="188"/>
      <c r="BD90" s="97"/>
      <c r="BE90" s="97"/>
      <c r="BF90" s="188"/>
      <c r="BG90" s="188"/>
      <c r="BH90" s="97"/>
      <c r="BI90" s="97"/>
      <c r="BJ90" s="188"/>
      <c r="BK90" s="188"/>
      <c r="BL90" s="180"/>
      <c r="BM90" s="180"/>
      <c r="BN90" s="180"/>
      <c r="BO90" s="180"/>
      <c r="BP90" s="180"/>
      <c r="BQ90" s="180"/>
      <c r="BR90" s="180"/>
    </row>
    <row r="91" spans="1:70" ht="12.75">
      <c r="A91" s="105"/>
      <c r="B91" s="6"/>
      <c r="C91" s="14"/>
      <c r="D91" s="64"/>
      <c r="E91" s="29"/>
      <c r="F91" s="67">
        <f>E91*D91*B91</f>
        <v>0</v>
      </c>
      <c r="G91" s="61"/>
      <c r="H91" s="97"/>
      <c r="I91" s="97"/>
      <c r="J91" s="188"/>
      <c r="K91" s="188"/>
      <c r="L91" s="97"/>
      <c r="M91" s="97"/>
      <c r="N91" s="188"/>
      <c r="O91" s="188"/>
      <c r="P91" s="97"/>
      <c r="Q91" s="97"/>
      <c r="R91" s="188"/>
      <c r="S91" s="188"/>
      <c r="T91" s="97"/>
      <c r="U91" s="97"/>
      <c r="V91" s="188"/>
      <c r="W91" s="188"/>
      <c r="X91" s="97"/>
      <c r="Y91" s="97"/>
      <c r="Z91" s="188"/>
      <c r="AA91" s="188"/>
      <c r="AB91" s="97"/>
      <c r="AC91" s="97"/>
      <c r="AD91" s="188"/>
      <c r="AE91" s="188"/>
      <c r="AF91" s="97"/>
      <c r="AG91" s="97"/>
      <c r="AH91" s="188"/>
      <c r="AI91" s="188"/>
      <c r="AJ91" s="97"/>
      <c r="AK91" s="97"/>
      <c r="AL91" s="188"/>
      <c r="AM91" s="188"/>
      <c r="AN91" s="97"/>
      <c r="AO91" s="97"/>
      <c r="AP91" s="188"/>
      <c r="AQ91" s="188"/>
      <c r="AR91" s="97"/>
      <c r="AS91" s="97"/>
      <c r="AT91" s="188"/>
      <c r="AU91" s="188"/>
      <c r="AV91" s="97"/>
      <c r="AW91" s="97"/>
      <c r="AX91" s="188"/>
      <c r="AY91" s="188"/>
      <c r="AZ91" s="97"/>
      <c r="BA91" s="97"/>
      <c r="BB91" s="188"/>
      <c r="BC91" s="188"/>
      <c r="BD91" s="97"/>
      <c r="BE91" s="97"/>
      <c r="BF91" s="188"/>
      <c r="BG91" s="188"/>
      <c r="BH91" s="97"/>
      <c r="BI91" s="97"/>
      <c r="BJ91" s="188"/>
      <c r="BK91" s="188"/>
      <c r="BL91" s="180"/>
      <c r="BM91" s="180"/>
      <c r="BN91" s="180"/>
      <c r="BO91" s="180"/>
      <c r="BP91" s="180"/>
      <c r="BQ91" s="180"/>
      <c r="BR91" s="180"/>
    </row>
    <row r="92" spans="1:70" ht="13.5" customHeight="1" hidden="1" thickBot="1">
      <c r="A92" s="133"/>
      <c r="B92" s="134"/>
      <c r="C92" s="135"/>
      <c r="D92" s="122"/>
      <c r="E92" s="123"/>
      <c r="F92" s="139"/>
      <c r="G92" s="125"/>
      <c r="H92" s="126"/>
      <c r="I92" s="126"/>
      <c r="J92" s="189"/>
      <c r="K92" s="189"/>
      <c r="L92" s="126"/>
      <c r="M92" s="126"/>
      <c r="N92" s="189"/>
      <c r="O92" s="189"/>
      <c r="P92" s="126"/>
      <c r="Q92" s="126"/>
      <c r="R92" s="189"/>
      <c r="S92" s="189"/>
      <c r="T92" s="126"/>
      <c r="U92" s="126"/>
      <c r="V92" s="189"/>
      <c r="W92" s="189"/>
      <c r="X92" s="126"/>
      <c r="Y92" s="126"/>
      <c r="Z92" s="189"/>
      <c r="AA92" s="189"/>
      <c r="AB92" s="126"/>
      <c r="AC92" s="126"/>
      <c r="AD92" s="189"/>
      <c r="AE92" s="189"/>
      <c r="AF92" s="126"/>
      <c r="AG92" s="126"/>
      <c r="AH92" s="189"/>
      <c r="AI92" s="189"/>
      <c r="AJ92" s="126"/>
      <c r="AK92" s="126"/>
      <c r="AL92" s="189"/>
      <c r="AM92" s="189"/>
      <c r="AN92" s="126"/>
      <c r="AO92" s="126"/>
      <c r="AP92" s="189"/>
      <c r="AQ92" s="189"/>
      <c r="AR92" s="126"/>
      <c r="AS92" s="126"/>
      <c r="AT92" s="189"/>
      <c r="AU92" s="189"/>
      <c r="AV92" s="126"/>
      <c r="AW92" s="126"/>
      <c r="AX92" s="189"/>
      <c r="AY92" s="189"/>
      <c r="AZ92" s="126"/>
      <c r="BA92" s="126"/>
      <c r="BB92" s="189"/>
      <c r="BC92" s="189"/>
      <c r="BD92" s="126"/>
      <c r="BE92" s="126"/>
      <c r="BF92" s="189"/>
      <c r="BG92" s="189"/>
      <c r="BH92" s="126"/>
      <c r="BI92" s="126"/>
      <c r="BJ92" s="189"/>
      <c r="BK92" s="189"/>
      <c r="BL92" s="180"/>
      <c r="BM92" s="180"/>
      <c r="BN92" s="180"/>
      <c r="BO92" s="180"/>
      <c r="BP92" s="180"/>
      <c r="BQ92" s="180"/>
      <c r="BR92" s="180"/>
    </row>
    <row r="93" spans="1:70" ht="12.75">
      <c r="A93" s="52" t="s">
        <v>27</v>
      </c>
      <c r="B93" s="52"/>
      <c r="C93" s="52"/>
      <c r="D93" s="52"/>
      <c r="E93" s="52">
        <v>0</v>
      </c>
      <c r="F93" s="58">
        <f>SUM(F94:F99)</f>
        <v>210000</v>
      </c>
      <c r="G93" s="52"/>
      <c r="H93" s="52"/>
      <c r="I93" s="52"/>
      <c r="J93" s="58">
        <f>SUM(J94:J99)</f>
        <v>0</v>
      </c>
      <c r="K93" s="52"/>
      <c r="L93" s="52"/>
      <c r="M93" s="58">
        <f>SUM(M94:M99)</f>
        <v>0</v>
      </c>
      <c r="N93" s="58">
        <f>SUM(N94:N99)</f>
        <v>0</v>
      </c>
      <c r="O93" s="52"/>
      <c r="P93" s="52"/>
      <c r="Q93" s="52"/>
      <c r="R93" s="58">
        <f>SUM(R94:R99)</f>
        <v>0</v>
      </c>
      <c r="S93" s="52"/>
      <c r="T93" s="52"/>
      <c r="U93" s="52"/>
      <c r="V93" s="58">
        <f>SUM(V94:V99)</f>
        <v>0</v>
      </c>
      <c r="W93" s="52"/>
      <c r="X93" s="52"/>
      <c r="Y93" s="52"/>
      <c r="Z93" s="58">
        <f>SUM(Z94:Z99)</f>
        <v>0</v>
      </c>
      <c r="AA93" s="52"/>
      <c r="AB93" s="52"/>
      <c r="AC93" s="52"/>
      <c r="AD93" s="58">
        <f>SUM(AD94:AD99)</f>
        <v>0</v>
      </c>
      <c r="AE93" s="52"/>
      <c r="AF93" s="52"/>
      <c r="AG93" s="52"/>
      <c r="AH93" s="58">
        <f>SUM(AH94:AH99)</f>
        <v>0</v>
      </c>
      <c r="AI93" s="52"/>
      <c r="AJ93" s="52"/>
      <c r="AK93" s="52"/>
      <c r="AL93" s="58">
        <f>SUM(AL94:AL99)</f>
        <v>0</v>
      </c>
      <c r="AM93" s="52"/>
      <c r="AN93" s="52"/>
      <c r="AO93" s="52"/>
      <c r="AP93" s="58">
        <f>SUM(AP94:AP99)</f>
        <v>0</v>
      </c>
      <c r="AQ93" s="52"/>
      <c r="AR93" s="52"/>
      <c r="AS93" s="52"/>
      <c r="AT93" s="58">
        <f>SUM(AT94:AT99)</f>
        <v>0</v>
      </c>
      <c r="AU93" s="52"/>
      <c r="AV93" s="52"/>
      <c r="AW93" s="52"/>
      <c r="AX93" s="58">
        <f>SUM(AX94:AX99)</f>
        <v>0</v>
      </c>
      <c r="AY93" s="52"/>
      <c r="AZ93" s="52"/>
      <c r="BA93" s="52"/>
      <c r="BB93" s="58">
        <f>SUM(BB94:BB99)</f>
        <v>0</v>
      </c>
      <c r="BC93" s="52"/>
      <c r="BD93" s="52"/>
      <c r="BE93" s="52"/>
      <c r="BF93" s="58">
        <f>SUM(BF94:BF99)</f>
        <v>0</v>
      </c>
      <c r="BG93" s="52"/>
      <c r="BH93" s="52"/>
      <c r="BI93" s="52"/>
      <c r="BJ93" s="58">
        <f>SUM(BJ94:BJ99)</f>
        <v>0</v>
      </c>
      <c r="BK93" s="52"/>
      <c r="BL93" s="183"/>
      <c r="BM93" s="183"/>
      <c r="BN93" s="183"/>
      <c r="BO93" s="183"/>
      <c r="BP93" s="183"/>
      <c r="BQ93" s="183"/>
      <c r="BR93" s="183"/>
    </row>
    <row r="94" spans="1:70" ht="12.75" customHeight="1" hidden="1">
      <c r="A94" s="136" t="s">
        <v>18</v>
      </c>
      <c r="B94" s="137"/>
      <c r="C94" s="140" t="s">
        <v>15</v>
      </c>
      <c r="D94" s="59">
        <v>10</v>
      </c>
      <c r="E94" s="28">
        <v>3000</v>
      </c>
      <c r="F94" s="60">
        <f>E94*D94*B94</f>
        <v>0</v>
      </c>
      <c r="G94" s="108"/>
      <c r="H94" s="128"/>
      <c r="I94" s="128"/>
      <c r="J94" s="191"/>
      <c r="K94" s="191"/>
      <c r="L94" s="128"/>
      <c r="M94" s="128"/>
      <c r="N94" s="191"/>
      <c r="O94" s="191"/>
      <c r="P94" s="128"/>
      <c r="Q94" s="128"/>
      <c r="R94" s="191"/>
      <c r="S94" s="191"/>
      <c r="T94" s="128"/>
      <c r="U94" s="128"/>
      <c r="V94" s="191"/>
      <c r="W94" s="191"/>
      <c r="X94" s="128"/>
      <c r="Y94" s="128"/>
      <c r="Z94" s="191"/>
      <c r="AA94" s="191"/>
      <c r="AB94" s="128"/>
      <c r="AC94" s="128"/>
      <c r="AD94" s="191"/>
      <c r="AE94" s="191"/>
      <c r="AF94" s="128"/>
      <c r="AG94" s="128"/>
      <c r="AH94" s="191"/>
      <c r="AI94" s="191"/>
      <c r="AJ94" s="128"/>
      <c r="AK94" s="128"/>
      <c r="AL94" s="191"/>
      <c r="AM94" s="191"/>
      <c r="AN94" s="128"/>
      <c r="AO94" s="128"/>
      <c r="AP94" s="191"/>
      <c r="AQ94" s="191"/>
      <c r="AR94" s="128"/>
      <c r="AS94" s="128"/>
      <c r="AT94" s="191"/>
      <c r="AU94" s="191"/>
      <c r="AV94" s="128"/>
      <c r="AW94" s="128"/>
      <c r="AX94" s="191"/>
      <c r="AY94" s="191"/>
      <c r="AZ94" s="128"/>
      <c r="BA94" s="128"/>
      <c r="BB94" s="191"/>
      <c r="BC94" s="191"/>
      <c r="BD94" s="128"/>
      <c r="BE94" s="128"/>
      <c r="BF94" s="191"/>
      <c r="BG94" s="191"/>
      <c r="BH94" s="128"/>
      <c r="BI94" s="128"/>
      <c r="BJ94" s="191"/>
      <c r="BK94" s="191"/>
      <c r="BL94" s="180"/>
      <c r="BM94" s="180"/>
      <c r="BN94" s="180"/>
      <c r="BO94" s="180"/>
      <c r="BP94" s="180"/>
      <c r="BQ94" s="180"/>
      <c r="BR94" s="180"/>
    </row>
    <row r="95" spans="1:70" ht="12.75">
      <c r="A95" s="80" t="s">
        <v>60</v>
      </c>
      <c r="B95" s="6">
        <v>3</v>
      </c>
      <c r="C95" s="5" t="s">
        <v>16</v>
      </c>
      <c r="D95" s="64">
        <v>1</v>
      </c>
      <c r="E95" s="29">
        <v>20000</v>
      </c>
      <c r="F95" s="63">
        <f>E95*D95*B95</f>
        <v>60000</v>
      </c>
      <c r="G95" s="61"/>
      <c r="H95" s="97"/>
      <c r="I95" s="97"/>
      <c r="J95" s="188"/>
      <c r="K95" s="188"/>
      <c r="L95" s="97"/>
      <c r="M95" s="97"/>
      <c r="N95" s="188"/>
      <c r="O95" s="188"/>
      <c r="P95" s="97"/>
      <c r="Q95" s="97"/>
      <c r="R95" s="188"/>
      <c r="S95" s="188"/>
      <c r="T95" s="97"/>
      <c r="U95" s="97"/>
      <c r="V95" s="188"/>
      <c r="W95" s="188"/>
      <c r="X95" s="97"/>
      <c r="Y95" s="97"/>
      <c r="Z95" s="188"/>
      <c r="AA95" s="188"/>
      <c r="AB95" s="97"/>
      <c r="AC95" s="97"/>
      <c r="AD95" s="188"/>
      <c r="AE95" s="188"/>
      <c r="AF95" s="97"/>
      <c r="AG95" s="97"/>
      <c r="AH95" s="188"/>
      <c r="AI95" s="188"/>
      <c r="AJ95" s="97"/>
      <c r="AK95" s="97"/>
      <c r="AL95" s="188"/>
      <c r="AM95" s="188"/>
      <c r="AN95" s="97"/>
      <c r="AO95" s="97"/>
      <c r="AP95" s="188"/>
      <c r="AQ95" s="188"/>
      <c r="AR95" s="97"/>
      <c r="AS95" s="97"/>
      <c r="AT95" s="188"/>
      <c r="AU95" s="188"/>
      <c r="AV95" s="97"/>
      <c r="AW95" s="97"/>
      <c r="AX95" s="188"/>
      <c r="AY95" s="188"/>
      <c r="AZ95" s="97"/>
      <c r="BA95" s="97"/>
      <c r="BB95" s="188"/>
      <c r="BC95" s="188"/>
      <c r="BD95" s="97"/>
      <c r="BE95" s="97"/>
      <c r="BF95" s="188"/>
      <c r="BG95" s="188"/>
      <c r="BH95" s="97"/>
      <c r="BI95" s="97"/>
      <c r="BJ95" s="188"/>
      <c r="BK95" s="188"/>
      <c r="BL95" s="180"/>
      <c r="BM95" s="180"/>
      <c r="BN95" s="180"/>
      <c r="BO95" s="180"/>
      <c r="BP95" s="180"/>
      <c r="BQ95" s="180"/>
      <c r="BR95" s="180"/>
    </row>
    <row r="96" spans="1:70" ht="25.5">
      <c r="A96" s="80" t="s">
        <v>17</v>
      </c>
      <c r="B96" s="6">
        <v>1</v>
      </c>
      <c r="C96" s="5" t="s">
        <v>1</v>
      </c>
      <c r="D96" s="64">
        <v>1</v>
      </c>
      <c r="E96" s="29">
        <v>150000</v>
      </c>
      <c r="F96" s="63">
        <f>E96*D96*B96</f>
        <v>150000</v>
      </c>
      <c r="G96" s="61"/>
      <c r="H96" s="97"/>
      <c r="I96" s="97"/>
      <c r="J96" s="188"/>
      <c r="K96" s="188"/>
      <c r="L96" s="97"/>
      <c r="M96" s="97"/>
      <c r="N96" s="188"/>
      <c r="O96" s="188"/>
      <c r="P96" s="97"/>
      <c r="Q96" s="97"/>
      <c r="R96" s="188"/>
      <c r="S96" s="188"/>
      <c r="T96" s="97"/>
      <c r="U96" s="97"/>
      <c r="V96" s="188"/>
      <c r="W96" s="188"/>
      <c r="X96" s="97"/>
      <c r="Y96" s="97"/>
      <c r="Z96" s="188"/>
      <c r="AA96" s="188"/>
      <c r="AB96" s="97"/>
      <c r="AC96" s="97"/>
      <c r="AD96" s="188"/>
      <c r="AE96" s="188"/>
      <c r="AF96" s="97"/>
      <c r="AG96" s="97"/>
      <c r="AH96" s="188"/>
      <c r="AI96" s="188"/>
      <c r="AJ96" s="97"/>
      <c r="AK96" s="97"/>
      <c r="AL96" s="188"/>
      <c r="AM96" s="188"/>
      <c r="AN96" s="97"/>
      <c r="AO96" s="97"/>
      <c r="AP96" s="188"/>
      <c r="AQ96" s="188"/>
      <c r="AR96" s="97"/>
      <c r="AS96" s="97"/>
      <c r="AT96" s="188"/>
      <c r="AU96" s="188"/>
      <c r="AV96" s="97"/>
      <c r="AW96" s="97"/>
      <c r="AX96" s="188"/>
      <c r="AY96" s="188"/>
      <c r="AZ96" s="97"/>
      <c r="BA96" s="97"/>
      <c r="BB96" s="188"/>
      <c r="BC96" s="188"/>
      <c r="BD96" s="97"/>
      <c r="BE96" s="97"/>
      <c r="BF96" s="188"/>
      <c r="BG96" s="188"/>
      <c r="BH96" s="97"/>
      <c r="BI96" s="97"/>
      <c r="BJ96" s="188"/>
      <c r="BK96" s="188"/>
      <c r="BL96" s="180"/>
      <c r="BM96" s="180"/>
      <c r="BN96" s="180"/>
      <c r="BO96" s="180"/>
      <c r="BP96" s="180"/>
      <c r="BQ96" s="180"/>
      <c r="BR96" s="180"/>
    </row>
    <row r="97" spans="1:70" ht="12.75">
      <c r="A97" s="80"/>
      <c r="B97" s="6"/>
      <c r="C97" s="5"/>
      <c r="D97" s="64"/>
      <c r="E97" s="29"/>
      <c r="F97" s="63">
        <f>E97*D97*B97</f>
        <v>0</v>
      </c>
      <c r="G97" s="61"/>
      <c r="H97" s="97"/>
      <c r="I97" s="97"/>
      <c r="J97" s="188"/>
      <c r="K97" s="188"/>
      <c r="L97" s="97"/>
      <c r="M97" s="97"/>
      <c r="N97" s="188"/>
      <c r="O97" s="188"/>
      <c r="P97" s="97"/>
      <c r="Q97" s="97"/>
      <c r="R97" s="188"/>
      <c r="S97" s="188"/>
      <c r="T97" s="97"/>
      <c r="U97" s="97"/>
      <c r="V97" s="188"/>
      <c r="W97" s="188"/>
      <c r="X97" s="97"/>
      <c r="Y97" s="97"/>
      <c r="Z97" s="188"/>
      <c r="AA97" s="188"/>
      <c r="AB97" s="97"/>
      <c r="AC97" s="97"/>
      <c r="AD97" s="188"/>
      <c r="AE97" s="188"/>
      <c r="AF97" s="97"/>
      <c r="AG97" s="97"/>
      <c r="AH97" s="188"/>
      <c r="AI97" s="188"/>
      <c r="AJ97" s="97"/>
      <c r="AK97" s="97"/>
      <c r="AL97" s="188"/>
      <c r="AM97" s="188"/>
      <c r="AN97" s="97"/>
      <c r="AO97" s="97"/>
      <c r="AP97" s="188"/>
      <c r="AQ97" s="188"/>
      <c r="AR97" s="97"/>
      <c r="AS97" s="97"/>
      <c r="AT97" s="188"/>
      <c r="AU97" s="188"/>
      <c r="AV97" s="97"/>
      <c r="AW97" s="97"/>
      <c r="AX97" s="188"/>
      <c r="AY97" s="188"/>
      <c r="AZ97" s="97"/>
      <c r="BA97" s="97"/>
      <c r="BB97" s="188"/>
      <c r="BC97" s="188"/>
      <c r="BD97" s="97"/>
      <c r="BE97" s="97"/>
      <c r="BF97" s="188"/>
      <c r="BG97" s="188"/>
      <c r="BH97" s="97"/>
      <c r="BI97" s="97"/>
      <c r="BJ97" s="188"/>
      <c r="BK97" s="188"/>
      <c r="BL97" s="180"/>
      <c r="BM97" s="180"/>
      <c r="BN97" s="180"/>
      <c r="BO97" s="180"/>
      <c r="BP97" s="180"/>
      <c r="BQ97" s="180"/>
      <c r="BR97" s="180"/>
    </row>
    <row r="98" spans="1:70" ht="12.75">
      <c r="A98" s="80"/>
      <c r="B98" s="6"/>
      <c r="C98" s="5"/>
      <c r="D98" s="64"/>
      <c r="E98" s="29">
        <v>0</v>
      </c>
      <c r="F98" s="67">
        <f>E98*D98*B98</f>
        <v>0</v>
      </c>
      <c r="G98" s="61"/>
      <c r="H98" s="97"/>
      <c r="I98" s="97"/>
      <c r="J98" s="188"/>
      <c r="K98" s="188"/>
      <c r="L98" s="97"/>
      <c r="M98" s="97"/>
      <c r="N98" s="188"/>
      <c r="O98" s="188"/>
      <c r="P98" s="97"/>
      <c r="Q98" s="97"/>
      <c r="R98" s="188"/>
      <c r="S98" s="188"/>
      <c r="T98" s="97"/>
      <c r="U98" s="97"/>
      <c r="V98" s="188"/>
      <c r="W98" s="188"/>
      <c r="X98" s="97"/>
      <c r="Y98" s="97"/>
      <c r="Z98" s="188"/>
      <c r="AA98" s="188"/>
      <c r="AB98" s="97"/>
      <c r="AC98" s="97"/>
      <c r="AD98" s="188"/>
      <c r="AE98" s="188"/>
      <c r="AF98" s="97"/>
      <c r="AG98" s="97"/>
      <c r="AH98" s="188"/>
      <c r="AI98" s="188"/>
      <c r="AJ98" s="97"/>
      <c r="AK98" s="97"/>
      <c r="AL98" s="188"/>
      <c r="AM98" s="188"/>
      <c r="AN98" s="97"/>
      <c r="AO98" s="97"/>
      <c r="AP98" s="188"/>
      <c r="AQ98" s="188"/>
      <c r="AR98" s="97"/>
      <c r="AS98" s="97"/>
      <c r="AT98" s="188"/>
      <c r="AU98" s="188"/>
      <c r="AV98" s="97"/>
      <c r="AW98" s="97"/>
      <c r="AX98" s="188"/>
      <c r="AY98" s="188"/>
      <c r="AZ98" s="97"/>
      <c r="BA98" s="97"/>
      <c r="BB98" s="188"/>
      <c r="BC98" s="188"/>
      <c r="BD98" s="97"/>
      <c r="BE98" s="97"/>
      <c r="BF98" s="188"/>
      <c r="BG98" s="188"/>
      <c r="BH98" s="97"/>
      <c r="BI98" s="97"/>
      <c r="BJ98" s="188"/>
      <c r="BK98" s="188"/>
      <c r="BL98" s="180"/>
      <c r="BM98" s="180"/>
      <c r="BN98" s="180"/>
      <c r="BO98" s="180"/>
      <c r="BP98" s="180"/>
      <c r="BQ98" s="180"/>
      <c r="BR98" s="180"/>
    </row>
    <row r="99" spans="1:70" ht="13.5" customHeight="1" hidden="1" thickBot="1">
      <c r="A99" s="133"/>
      <c r="B99" s="141"/>
      <c r="C99" s="142"/>
      <c r="D99" s="122"/>
      <c r="E99" s="131">
        <v>0</v>
      </c>
      <c r="F99" s="124"/>
      <c r="G99" s="125"/>
      <c r="H99" s="97"/>
      <c r="I99" s="97"/>
      <c r="J99" s="188"/>
      <c r="K99" s="188"/>
      <c r="L99" s="97"/>
      <c r="M99" s="97"/>
      <c r="N99" s="188"/>
      <c r="O99" s="188"/>
      <c r="P99" s="97"/>
      <c r="Q99" s="97"/>
      <c r="R99" s="188"/>
      <c r="S99" s="188"/>
      <c r="T99" s="97"/>
      <c r="U99" s="97"/>
      <c r="V99" s="188"/>
      <c r="W99" s="188"/>
      <c r="X99" s="97"/>
      <c r="Y99" s="97"/>
      <c r="Z99" s="188"/>
      <c r="AA99" s="188"/>
      <c r="AB99" s="97"/>
      <c r="AC99" s="97"/>
      <c r="AD99" s="188"/>
      <c r="AE99" s="188"/>
      <c r="AF99" s="97"/>
      <c r="AG99" s="97"/>
      <c r="AH99" s="188"/>
      <c r="AI99" s="188"/>
      <c r="AJ99" s="97"/>
      <c r="AK99" s="97"/>
      <c r="AL99" s="188"/>
      <c r="AM99" s="188"/>
      <c r="AN99" s="97"/>
      <c r="AO99" s="97"/>
      <c r="AP99" s="188"/>
      <c r="AQ99" s="188"/>
      <c r="AR99" s="97"/>
      <c r="AS99" s="97"/>
      <c r="AT99" s="188"/>
      <c r="AU99" s="188"/>
      <c r="AV99" s="97"/>
      <c r="AW99" s="97"/>
      <c r="AX99" s="188"/>
      <c r="AY99" s="188"/>
      <c r="AZ99" s="97"/>
      <c r="BA99" s="97"/>
      <c r="BB99" s="188"/>
      <c r="BC99" s="188"/>
      <c r="BD99" s="97"/>
      <c r="BE99" s="97"/>
      <c r="BF99" s="188"/>
      <c r="BG99" s="188"/>
      <c r="BH99" s="97"/>
      <c r="BI99" s="97"/>
      <c r="BJ99" s="188"/>
      <c r="BK99" s="188"/>
      <c r="BL99" s="180"/>
      <c r="BM99" s="180"/>
      <c r="BN99" s="180"/>
      <c r="BO99" s="180"/>
      <c r="BP99" s="180"/>
      <c r="BQ99" s="180"/>
      <c r="BR99" s="180"/>
    </row>
    <row r="100" spans="1:70" ht="12.75">
      <c r="A100" s="132" t="s">
        <v>6</v>
      </c>
      <c r="B100" s="132"/>
      <c r="C100" s="132"/>
      <c r="D100" s="132"/>
      <c r="E100" s="52">
        <v>0</v>
      </c>
      <c r="F100" s="58">
        <f>SUM(F101:F106)</f>
        <v>418860.25999999995</v>
      </c>
      <c r="G100" s="52"/>
      <c r="H100" s="52"/>
      <c r="I100" s="52"/>
      <c r="J100" s="58">
        <f>SUM(J101:J106)</f>
        <v>4000</v>
      </c>
      <c r="K100" s="52"/>
      <c r="L100" s="52"/>
      <c r="M100" s="58">
        <f>SUM(M101:M106)</f>
        <v>0</v>
      </c>
      <c r="N100" s="58">
        <f>SUM(N101:N106)</f>
        <v>0</v>
      </c>
      <c r="O100" s="52"/>
      <c r="P100" s="52"/>
      <c r="Q100" s="52"/>
      <c r="R100" s="58">
        <f>SUM(R101:R106)</f>
        <v>0</v>
      </c>
      <c r="S100" s="52"/>
      <c r="T100" s="52"/>
      <c r="U100" s="52"/>
      <c r="V100" s="58">
        <f>SUM(V101:V106)</f>
        <v>0</v>
      </c>
      <c r="W100" s="52"/>
      <c r="X100" s="52"/>
      <c r="Y100" s="52"/>
      <c r="Z100" s="58">
        <f>SUM(Z101:Z106)</f>
        <v>0</v>
      </c>
      <c r="AA100" s="52"/>
      <c r="AB100" s="52"/>
      <c r="AC100" s="52"/>
      <c r="AD100" s="58">
        <f>SUM(AD101:AD106)</f>
        <v>0</v>
      </c>
      <c r="AE100" s="52"/>
      <c r="AF100" s="52"/>
      <c r="AG100" s="52"/>
      <c r="AH100" s="58">
        <f>SUM(AH101:AH106)</f>
        <v>0</v>
      </c>
      <c r="AI100" s="52"/>
      <c r="AJ100" s="52"/>
      <c r="AK100" s="52"/>
      <c r="AL100" s="58">
        <f>SUM(AL101:AL106)</f>
        <v>0</v>
      </c>
      <c r="AM100" s="52"/>
      <c r="AN100" s="52"/>
      <c r="AO100" s="52"/>
      <c r="AP100" s="58">
        <f>SUM(AP101:AP106)</f>
        <v>0</v>
      </c>
      <c r="AQ100" s="52"/>
      <c r="AR100" s="52"/>
      <c r="AS100" s="52"/>
      <c r="AT100" s="58">
        <f>SUM(AT101:AT106)</f>
        <v>0</v>
      </c>
      <c r="AU100" s="52"/>
      <c r="AV100" s="52"/>
      <c r="AW100" s="52"/>
      <c r="AX100" s="58">
        <f>SUM(AX101:AX106)</f>
        <v>0</v>
      </c>
      <c r="AY100" s="52"/>
      <c r="AZ100" s="52"/>
      <c r="BA100" s="52"/>
      <c r="BB100" s="58">
        <f>SUM(BB101:BB106)</f>
        <v>0</v>
      </c>
      <c r="BC100" s="52"/>
      <c r="BD100" s="52"/>
      <c r="BE100" s="52"/>
      <c r="BF100" s="58">
        <f>SUM(BF101:BF106)</f>
        <v>0</v>
      </c>
      <c r="BG100" s="52"/>
      <c r="BH100" s="52"/>
      <c r="BI100" s="52"/>
      <c r="BJ100" s="58">
        <f>SUM(BJ101:BJ106)</f>
        <v>0</v>
      </c>
      <c r="BK100" s="52"/>
      <c r="BL100" s="183"/>
      <c r="BM100" s="183"/>
      <c r="BN100" s="183"/>
      <c r="BO100" s="183"/>
      <c r="BP100" s="183"/>
      <c r="BQ100" s="183"/>
      <c r="BR100" s="183"/>
    </row>
    <row r="101" spans="1:70" ht="38.25">
      <c r="A101" s="81" t="s">
        <v>58</v>
      </c>
      <c r="B101" s="138">
        <v>2</v>
      </c>
      <c r="C101" s="143" t="s">
        <v>87</v>
      </c>
      <c r="D101" s="59">
        <v>1</v>
      </c>
      <c r="E101" s="144">
        <v>8000</v>
      </c>
      <c r="F101" s="60">
        <f aca="true" t="shared" si="4" ref="F101:F106">E101*D101*B101</f>
        <v>16000</v>
      </c>
      <c r="G101" s="108"/>
      <c r="H101" s="97"/>
      <c r="I101" s="97"/>
      <c r="J101" s="188">
        <v>4000</v>
      </c>
      <c r="K101" s="188" t="s">
        <v>309</v>
      </c>
      <c r="L101" s="97"/>
      <c r="M101" s="97"/>
      <c r="N101" s="188"/>
      <c r="O101" s="188"/>
      <c r="P101" s="97"/>
      <c r="Q101" s="97"/>
      <c r="R101" s="188"/>
      <c r="S101" s="188"/>
      <c r="T101" s="97"/>
      <c r="U101" s="97"/>
      <c r="V101" s="188"/>
      <c r="W101" s="188"/>
      <c r="X101" s="97"/>
      <c r="Y101" s="97"/>
      <c r="Z101" s="188"/>
      <c r="AA101" s="188"/>
      <c r="AB101" s="97"/>
      <c r="AC101" s="97"/>
      <c r="AD101" s="188"/>
      <c r="AE101" s="188"/>
      <c r="AF101" s="97"/>
      <c r="AG101" s="97"/>
      <c r="AH101" s="188"/>
      <c r="AI101" s="188"/>
      <c r="AJ101" s="97"/>
      <c r="AK101" s="97"/>
      <c r="AL101" s="188"/>
      <c r="AM101" s="188"/>
      <c r="AN101" s="97"/>
      <c r="AO101" s="97"/>
      <c r="AP101" s="188"/>
      <c r="AQ101" s="188"/>
      <c r="AR101" s="97"/>
      <c r="AS101" s="97"/>
      <c r="AT101" s="188"/>
      <c r="AU101" s="188"/>
      <c r="AV101" s="97"/>
      <c r="AW101" s="97"/>
      <c r="AX101" s="188"/>
      <c r="AY101" s="188"/>
      <c r="AZ101" s="97"/>
      <c r="BA101" s="97"/>
      <c r="BB101" s="188"/>
      <c r="BC101" s="188"/>
      <c r="BD101" s="97"/>
      <c r="BE101" s="97"/>
      <c r="BF101" s="188"/>
      <c r="BG101" s="188"/>
      <c r="BH101" s="97"/>
      <c r="BI101" s="97"/>
      <c r="BJ101" s="188"/>
      <c r="BK101" s="188"/>
      <c r="BL101" s="180"/>
      <c r="BM101" s="180"/>
      <c r="BN101" s="180"/>
      <c r="BO101" s="180"/>
      <c r="BP101" s="180"/>
      <c r="BQ101" s="180"/>
      <c r="BR101" s="180"/>
    </row>
    <row r="102" spans="1:70" ht="12.75">
      <c r="A102" s="105" t="s">
        <v>59</v>
      </c>
      <c r="B102" s="14">
        <v>1</v>
      </c>
      <c r="C102" s="15" t="s">
        <v>87</v>
      </c>
      <c r="D102" s="64">
        <v>7</v>
      </c>
      <c r="E102" s="30">
        <v>5000</v>
      </c>
      <c r="F102" s="63">
        <f t="shared" si="4"/>
        <v>35000</v>
      </c>
      <c r="G102" s="61" t="s">
        <v>125</v>
      </c>
      <c r="H102" s="97"/>
      <c r="I102" s="97"/>
      <c r="J102" s="188"/>
      <c r="K102" s="188"/>
      <c r="L102" s="97"/>
      <c r="M102" s="97"/>
      <c r="N102" s="188"/>
      <c r="O102" s="188"/>
      <c r="P102" s="97"/>
      <c r="Q102" s="97"/>
      <c r="R102" s="188"/>
      <c r="S102" s="188"/>
      <c r="T102" s="97"/>
      <c r="U102" s="97"/>
      <c r="V102" s="188"/>
      <c r="W102" s="188"/>
      <c r="X102" s="97"/>
      <c r="Y102" s="97"/>
      <c r="Z102" s="188"/>
      <c r="AA102" s="188"/>
      <c r="AB102" s="97"/>
      <c r="AC102" s="97"/>
      <c r="AD102" s="188"/>
      <c r="AE102" s="188"/>
      <c r="AF102" s="97"/>
      <c r="AG102" s="97"/>
      <c r="AH102" s="188"/>
      <c r="AI102" s="188"/>
      <c r="AJ102" s="97"/>
      <c r="AK102" s="97"/>
      <c r="AL102" s="188"/>
      <c r="AM102" s="188"/>
      <c r="AN102" s="97"/>
      <c r="AO102" s="97"/>
      <c r="AP102" s="188"/>
      <c r="AQ102" s="188"/>
      <c r="AR102" s="97"/>
      <c r="AS102" s="97"/>
      <c r="AT102" s="188"/>
      <c r="AU102" s="188"/>
      <c r="AV102" s="97"/>
      <c r="AW102" s="97"/>
      <c r="AX102" s="188"/>
      <c r="AY102" s="188"/>
      <c r="AZ102" s="97"/>
      <c r="BA102" s="97"/>
      <c r="BB102" s="188"/>
      <c r="BC102" s="188"/>
      <c r="BD102" s="97"/>
      <c r="BE102" s="97"/>
      <c r="BF102" s="188"/>
      <c r="BG102" s="188"/>
      <c r="BH102" s="97"/>
      <c r="BI102" s="97"/>
      <c r="BJ102" s="188"/>
      <c r="BK102" s="188"/>
      <c r="BL102" s="180"/>
      <c r="BM102" s="180"/>
      <c r="BN102" s="180"/>
      <c r="BO102" s="180"/>
      <c r="BP102" s="180"/>
      <c r="BQ102" s="180"/>
      <c r="BR102" s="180"/>
    </row>
    <row r="103" spans="1:70" ht="12.75">
      <c r="A103" s="105" t="s">
        <v>88</v>
      </c>
      <c r="B103" s="14">
        <v>1</v>
      </c>
      <c r="C103" s="15" t="s">
        <v>87</v>
      </c>
      <c r="D103" s="64">
        <v>3</v>
      </c>
      <c r="E103" s="30">
        <v>8000</v>
      </c>
      <c r="F103" s="63">
        <f t="shared" si="4"/>
        <v>24000</v>
      </c>
      <c r="G103" s="61"/>
      <c r="H103" s="97"/>
      <c r="I103" s="97"/>
      <c r="J103" s="188"/>
      <c r="K103" s="188"/>
      <c r="L103" s="97"/>
      <c r="M103" s="97"/>
      <c r="N103" s="188"/>
      <c r="O103" s="188"/>
      <c r="P103" s="97"/>
      <c r="Q103" s="97"/>
      <c r="R103" s="188"/>
      <c r="S103" s="188"/>
      <c r="T103" s="97"/>
      <c r="U103" s="97"/>
      <c r="V103" s="188"/>
      <c r="W103" s="188"/>
      <c r="X103" s="97"/>
      <c r="Y103" s="97"/>
      <c r="Z103" s="188"/>
      <c r="AA103" s="188"/>
      <c r="AB103" s="97"/>
      <c r="AC103" s="97"/>
      <c r="AD103" s="188"/>
      <c r="AE103" s="188"/>
      <c r="AF103" s="97"/>
      <c r="AG103" s="97"/>
      <c r="AH103" s="188"/>
      <c r="AI103" s="188"/>
      <c r="AJ103" s="97"/>
      <c r="AK103" s="97"/>
      <c r="AL103" s="188"/>
      <c r="AM103" s="188"/>
      <c r="AN103" s="97"/>
      <c r="AO103" s="97"/>
      <c r="AP103" s="188"/>
      <c r="AQ103" s="188"/>
      <c r="AR103" s="97"/>
      <c r="AS103" s="97"/>
      <c r="AT103" s="188"/>
      <c r="AU103" s="188"/>
      <c r="AV103" s="97"/>
      <c r="AW103" s="97"/>
      <c r="AX103" s="188"/>
      <c r="AY103" s="188"/>
      <c r="AZ103" s="97"/>
      <c r="BA103" s="97"/>
      <c r="BB103" s="188"/>
      <c r="BC103" s="188"/>
      <c r="BD103" s="97"/>
      <c r="BE103" s="97"/>
      <c r="BF103" s="188"/>
      <c r="BG103" s="188"/>
      <c r="BH103" s="97"/>
      <c r="BI103" s="97"/>
      <c r="BJ103" s="188"/>
      <c r="BK103" s="188"/>
      <c r="BL103" s="180"/>
      <c r="BM103" s="180"/>
      <c r="BN103" s="180"/>
      <c r="BO103" s="180"/>
      <c r="BP103" s="180"/>
      <c r="BQ103" s="180"/>
      <c r="BR103" s="180"/>
    </row>
    <row r="104" spans="1:70" ht="25.5">
      <c r="A104" s="80" t="s">
        <v>103</v>
      </c>
      <c r="B104" s="6">
        <f>10*5</f>
        <v>50</v>
      </c>
      <c r="C104" s="5" t="s">
        <v>10</v>
      </c>
      <c r="D104" s="64">
        <v>2</v>
      </c>
      <c r="E104" s="29">
        <v>500</v>
      </c>
      <c r="F104" s="63">
        <f t="shared" si="4"/>
        <v>50000</v>
      </c>
      <c r="G104" s="61"/>
      <c r="H104" s="97"/>
      <c r="I104" s="97"/>
      <c r="J104" s="188"/>
      <c r="K104" s="188"/>
      <c r="L104" s="97"/>
      <c r="M104" s="97"/>
      <c r="N104" s="188"/>
      <c r="O104" s="188"/>
      <c r="P104" s="97"/>
      <c r="Q104" s="97"/>
      <c r="R104" s="188"/>
      <c r="S104" s="188"/>
      <c r="T104" s="97"/>
      <c r="U104" s="97"/>
      <c r="V104" s="188"/>
      <c r="W104" s="188"/>
      <c r="X104" s="97"/>
      <c r="Y104" s="97"/>
      <c r="Z104" s="188"/>
      <c r="AA104" s="188"/>
      <c r="AB104" s="97"/>
      <c r="AC104" s="97"/>
      <c r="AD104" s="188"/>
      <c r="AE104" s="188"/>
      <c r="AF104" s="97"/>
      <c r="AG104" s="97"/>
      <c r="AH104" s="188"/>
      <c r="AI104" s="188"/>
      <c r="AJ104" s="97"/>
      <c r="AK104" s="97"/>
      <c r="AL104" s="188"/>
      <c r="AM104" s="188"/>
      <c r="AN104" s="97"/>
      <c r="AO104" s="97"/>
      <c r="AP104" s="188"/>
      <c r="AQ104" s="188"/>
      <c r="AR104" s="97"/>
      <c r="AS104" s="97"/>
      <c r="AT104" s="188"/>
      <c r="AU104" s="188"/>
      <c r="AV104" s="97"/>
      <c r="AW104" s="97"/>
      <c r="AX104" s="188"/>
      <c r="AY104" s="188"/>
      <c r="AZ104" s="97"/>
      <c r="BA104" s="97"/>
      <c r="BB104" s="188"/>
      <c r="BC104" s="188"/>
      <c r="BD104" s="97"/>
      <c r="BE104" s="97"/>
      <c r="BF104" s="188"/>
      <c r="BG104" s="188"/>
      <c r="BH104" s="97"/>
      <c r="BI104" s="97"/>
      <c r="BJ104" s="188"/>
      <c r="BK104" s="188"/>
      <c r="BL104" s="180"/>
      <c r="BM104" s="180"/>
      <c r="BN104" s="180"/>
      <c r="BO104" s="180"/>
      <c r="BP104" s="180"/>
      <c r="BQ104" s="180"/>
      <c r="BR104" s="180"/>
    </row>
    <row r="105" spans="1:70" ht="25.5">
      <c r="A105" s="107" t="s">
        <v>28</v>
      </c>
      <c r="B105" s="14">
        <v>1</v>
      </c>
      <c r="C105" s="15" t="s">
        <v>1</v>
      </c>
      <c r="D105" s="64">
        <v>1</v>
      </c>
      <c r="E105" s="30">
        <f>(F93+F67+F50+F30+F67)/100</f>
        <v>293860.25999999995</v>
      </c>
      <c r="F105" s="63">
        <f t="shared" si="4"/>
        <v>293860.25999999995</v>
      </c>
      <c r="G105" s="61"/>
      <c r="H105" s="97"/>
      <c r="I105" s="97"/>
      <c r="J105" s="188"/>
      <c r="K105" s="188"/>
      <c r="L105" s="97"/>
      <c r="M105" s="97"/>
      <c r="N105" s="188"/>
      <c r="O105" s="188"/>
      <c r="P105" s="97"/>
      <c r="Q105" s="97"/>
      <c r="R105" s="188"/>
      <c r="S105" s="188"/>
      <c r="T105" s="97"/>
      <c r="U105" s="97"/>
      <c r="V105" s="188"/>
      <c r="W105" s="188"/>
      <c r="X105" s="97"/>
      <c r="Y105" s="97"/>
      <c r="Z105" s="188"/>
      <c r="AA105" s="188"/>
      <c r="AB105" s="97"/>
      <c r="AC105" s="97"/>
      <c r="AD105" s="188"/>
      <c r="AE105" s="188"/>
      <c r="AF105" s="97"/>
      <c r="AG105" s="97"/>
      <c r="AH105" s="188"/>
      <c r="AI105" s="188"/>
      <c r="AJ105" s="97"/>
      <c r="AK105" s="97"/>
      <c r="AL105" s="188"/>
      <c r="AM105" s="188"/>
      <c r="AN105" s="97"/>
      <c r="AO105" s="97"/>
      <c r="AP105" s="188"/>
      <c r="AQ105" s="188"/>
      <c r="AR105" s="97"/>
      <c r="AS105" s="97"/>
      <c r="AT105" s="188"/>
      <c r="AU105" s="188"/>
      <c r="AV105" s="97"/>
      <c r="AW105" s="97"/>
      <c r="AX105" s="188"/>
      <c r="AY105" s="188"/>
      <c r="AZ105" s="97"/>
      <c r="BA105" s="97"/>
      <c r="BB105" s="188"/>
      <c r="BC105" s="188"/>
      <c r="BD105" s="97"/>
      <c r="BE105" s="97"/>
      <c r="BF105" s="188"/>
      <c r="BG105" s="188"/>
      <c r="BH105" s="97"/>
      <c r="BI105" s="97"/>
      <c r="BJ105" s="188"/>
      <c r="BK105" s="188"/>
      <c r="BL105" s="180"/>
      <c r="BM105" s="180"/>
      <c r="BN105" s="180"/>
      <c r="BO105" s="180"/>
      <c r="BP105" s="180"/>
      <c r="BQ105" s="180"/>
      <c r="BR105" s="180"/>
    </row>
    <row r="106" spans="1:70" ht="12.75">
      <c r="A106" s="82"/>
      <c r="B106" s="83"/>
      <c r="C106" s="84"/>
      <c r="D106" s="84"/>
      <c r="E106" s="85"/>
      <c r="F106" s="84">
        <f t="shared" si="4"/>
        <v>0</v>
      </c>
      <c r="G106" s="125"/>
      <c r="H106" s="97"/>
      <c r="I106" s="97"/>
      <c r="J106" s="188"/>
      <c r="K106" s="188"/>
      <c r="L106" s="97"/>
      <c r="M106" s="97"/>
      <c r="N106" s="188"/>
      <c r="O106" s="188"/>
      <c r="P106" s="97"/>
      <c r="Q106" s="97"/>
      <c r="R106" s="188"/>
      <c r="S106" s="188"/>
      <c r="T106" s="97"/>
      <c r="U106" s="97"/>
      <c r="V106" s="188"/>
      <c r="W106" s="188"/>
      <c r="X106" s="97"/>
      <c r="Y106" s="97"/>
      <c r="Z106" s="188"/>
      <c r="AA106" s="188"/>
      <c r="AB106" s="97"/>
      <c r="AC106" s="97"/>
      <c r="AD106" s="188"/>
      <c r="AE106" s="188"/>
      <c r="AF106" s="97"/>
      <c r="AG106" s="97"/>
      <c r="AH106" s="188"/>
      <c r="AI106" s="188"/>
      <c r="AJ106" s="97"/>
      <c r="AK106" s="97"/>
      <c r="AL106" s="188"/>
      <c r="AM106" s="188"/>
      <c r="AN106" s="97"/>
      <c r="AO106" s="97"/>
      <c r="AP106" s="188"/>
      <c r="AQ106" s="188"/>
      <c r="AR106" s="97"/>
      <c r="AS106" s="97"/>
      <c r="AT106" s="188"/>
      <c r="AU106" s="188"/>
      <c r="AV106" s="97"/>
      <c r="AW106" s="97"/>
      <c r="AX106" s="188"/>
      <c r="AY106" s="188"/>
      <c r="AZ106" s="97"/>
      <c r="BA106" s="97"/>
      <c r="BB106" s="188"/>
      <c r="BC106" s="188"/>
      <c r="BD106" s="97"/>
      <c r="BE106" s="97"/>
      <c r="BF106" s="188"/>
      <c r="BG106" s="188"/>
      <c r="BH106" s="97"/>
      <c r="BI106" s="97"/>
      <c r="BJ106" s="188"/>
      <c r="BK106" s="188"/>
      <c r="BL106" s="180"/>
      <c r="BM106" s="180"/>
      <c r="BN106" s="180"/>
      <c r="BO106" s="180"/>
      <c r="BP106" s="180"/>
      <c r="BQ106" s="180"/>
      <c r="BR106" s="180"/>
    </row>
    <row r="107" spans="1:70" ht="12.75">
      <c r="A107" s="52" t="s">
        <v>20</v>
      </c>
      <c r="B107" s="109"/>
      <c r="C107" s="103"/>
      <c r="D107" s="104"/>
      <c r="E107" s="130"/>
      <c r="F107" s="58">
        <f>F100+F93+F88+F67+F50+F30+F9</f>
        <v>36992683.26</v>
      </c>
      <c r="G107" s="130"/>
      <c r="H107" s="52"/>
      <c r="I107" s="52"/>
      <c r="J107" s="58">
        <f>J100+J93+J88+J67+J50+J30+J9</f>
        <v>430275</v>
      </c>
      <c r="K107" s="52"/>
      <c r="L107" s="52"/>
      <c r="M107" s="58">
        <f>M100+M93+M88+M67+M50+M30+M9</f>
        <v>1524705</v>
      </c>
      <c r="N107" s="58">
        <f>N100+N93+N88+N67+N50+N30+N9</f>
        <v>0</v>
      </c>
      <c r="O107" s="52"/>
      <c r="P107" s="52"/>
      <c r="Q107" s="52"/>
      <c r="R107" s="58">
        <f>R100+R93+R88+R67+R50+R30+R9</f>
        <v>550000</v>
      </c>
      <c r="S107" s="52"/>
      <c r="T107" s="52"/>
      <c r="U107" s="52"/>
      <c r="V107" s="58">
        <f>V100+V93+V88+V67+V50+V30+V9</f>
        <v>0</v>
      </c>
      <c r="W107" s="52"/>
      <c r="X107" s="52"/>
      <c r="Y107" s="52"/>
      <c r="Z107" s="58">
        <f>Z100+Z93+Z88+Z67+Z50+Z30+Z9</f>
        <v>0</v>
      </c>
      <c r="AA107" s="52"/>
      <c r="AB107" s="52"/>
      <c r="AC107" s="52"/>
      <c r="AD107" s="58">
        <f>AD100+AD93+AD88+AD67+AD50+AD30+AD9</f>
        <v>0</v>
      </c>
      <c r="AE107" s="52"/>
      <c r="AF107" s="52"/>
      <c r="AG107" s="52"/>
      <c r="AH107" s="58">
        <f>AH100+AH93+AH88+AH67+AH50+AH30+AH9</f>
        <v>0</v>
      </c>
      <c r="AI107" s="52"/>
      <c r="AJ107" s="52"/>
      <c r="AK107" s="52"/>
      <c r="AL107" s="58">
        <f>AL100+AL93+AL88+AL67+AL50+AL30+AL9</f>
        <v>0</v>
      </c>
      <c r="AM107" s="52"/>
      <c r="AN107" s="52"/>
      <c r="AO107" s="52"/>
      <c r="AP107" s="58">
        <f>AP100+AP93+AP88+AP67+AP50+AP30+AP9</f>
        <v>0</v>
      </c>
      <c r="AQ107" s="52"/>
      <c r="AR107" s="52"/>
      <c r="AS107" s="52"/>
      <c r="AT107" s="58">
        <f>AT100+AT93+AT88+AT67+AT50+AT30+AT9</f>
        <v>0</v>
      </c>
      <c r="AU107" s="52"/>
      <c r="AV107" s="52"/>
      <c r="AW107" s="52"/>
      <c r="AX107" s="58">
        <f>AX100+AX93+AX88+AX67+AX50+AX30+AX9</f>
        <v>0</v>
      </c>
      <c r="AY107" s="52"/>
      <c r="AZ107" s="52"/>
      <c r="BA107" s="52"/>
      <c r="BB107" s="58">
        <f>BB100+BB93+BB88+BB67+BB50+BB30+BB9</f>
        <v>0</v>
      </c>
      <c r="BC107" s="52"/>
      <c r="BD107" s="52"/>
      <c r="BE107" s="52"/>
      <c r="BF107" s="58">
        <f>BF100+BF93+BF88+BF67+BF50+BF30+BF9</f>
        <v>0</v>
      </c>
      <c r="BG107" s="52"/>
      <c r="BH107" s="52"/>
      <c r="BI107" s="52"/>
      <c r="BJ107" s="58">
        <f>BJ100+BJ93+BJ88+BJ67+BJ50+BJ30+BJ9</f>
        <v>0</v>
      </c>
      <c r="BK107" s="52"/>
      <c r="BL107" s="183"/>
      <c r="BM107" s="183"/>
      <c r="BN107" s="183"/>
      <c r="BO107" s="183"/>
      <c r="BP107" s="183"/>
      <c r="BQ107" s="183"/>
      <c r="BR107" s="183"/>
    </row>
    <row r="108" spans="1:70" ht="12.75">
      <c r="A108" s="52" t="s">
        <v>29</v>
      </c>
      <c r="B108" s="109"/>
      <c r="C108" s="103"/>
      <c r="D108" s="104"/>
      <c r="E108" s="130"/>
      <c r="F108" s="58">
        <f>F107*35/100</f>
        <v>12947439.140999999</v>
      </c>
      <c r="G108" s="130"/>
      <c r="H108" s="52"/>
      <c r="I108" s="52"/>
      <c r="J108" s="58">
        <f>J107*35/100</f>
        <v>150596.25</v>
      </c>
      <c r="K108" s="52"/>
      <c r="L108" s="52"/>
      <c r="M108" s="58">
        <f>M107*35/100</f>
        <v>533646.75</v>
      </c>
      <c r="N108" s="58">
        <f>N107*35/100</f>
        <v>0</v>
      </c>
      <c r="O108" s="52"/>
      <c r="P108" s="52"/>
      <c r="Q108" s="52"/>
      <c r="R108" s="58">
        <f>R107*35/100</f>
        <v>192500</v>
      </c>
      <c r="S108" s="52"/>
      <c r="T108" s="52"/>
      <c r="U108" s="52"/>
      <c r="V108" s="58">
        <f>V107*35/100</f>
        <v>0</v>
      </c>
      <c r="W108" s="52"/>
      <c r="X108" s="52"/>
      <c r="Y108" s="52"/>
      <c r="Z108" s="58">
        <f>Z107*35/100</f>
        <v>0</v>
      </c>
      <c r="AA108" s="52"/>
      <c r="AB108" s="52"/>
      <c r="AC108" s="52"/>
      <c r="AD108" s="58">
        <f>AD107*35/100</f>
        <v>0</v>
      </c>
      <c r="AE108" s="52"/>
      <c r="AF108" s="52"/>
      <c r="AG108" s="52"/>
      <c r="AH108" s="58">
        <f>AH107*35/100</f>
        <v>0</v>
      </c>
      <c r="AI108" s="52"/>
      <c r="AJ108" s="52"/>
      <c r="AK108" s="52"/>
      <c r="AL108" s="58">
        <f>AL107*35/100</f>
        <v>0</v>
      </c>
      <c r="AM108" s="52"/>
      <c r="AN108" s="52"/>
      <c r="AO108" s="52"/>
      <c r="AP108" s="58">
        <f>AP107*35/100</f>
        <v>0</v>
      </c>
      <c r="AQ108" s="52"/>
      <c r="AR108" s="52"/>
      <c r="AS108" s="52"/>
      <c r="AT108" s="58">
        <f>AT107*35/100</f>
        <v>0</v>
      </c>
      <c r="AU108" s="52"/>
      <c r="AV108" s="52"/>
      <c r="AW108" s="52"/>
      <c r="AX108" s="58">
        <f>AX107*35/100</f>
        <v>0</v>
      </c>
      <c r="AY108" s="52"/>
      <c r="AZ108" s="52"/>
      <c r="BA108" s="52"/>
      <c r="BB108" s="58">
        <f>BB107*35/100</f>
        <v>0</v>
      </c>
      <c r="BC108" s="52"/>
      <c r="BD108" s="52"/>
      <c r="BE108" s="52"/>
      <c r="BF108" s="58">
        <f>BF107*35/100</f>
        <v>0</v>
      </c>
      <c r="BG108" s="52"/>
      <c r="BH108" s="52"/>
      <c r="BI108" s="52"/>
      <c r="BJ108" s="58">
        <f>BJ107*35/100</f>
        <v>0</v>
      </c>
      <c r="BK108" s="52"/>
      <c r="BL108" s="183"/>
      <c r="BM108" s="183"/>
      <c r="BN108" s="183"/>
      <c r="BO108" s="183"/>
      <c r="BP108" s="183"/>
      <c r="BQ108" s="183"/>
      <c r="BR108" s="183"/>
    </row>
    <row r="109" spans="1:70" ht="12.75">
      <c r="A109" s="52" t="s">
        <v>25</v>
      </c>
      <c r="B109" s="109"/>
      <c r="C109" s="103"/>
      <c r="D109" s="104"/>
      <c r="E109" s="130"/>
      <c r="F109" s="58">
        <f>F108+F107</f>
        <v>49940122.40099999</v>
      </c>
      <c r="G109" s="130"/>
      <c r="H109" s="52"/>
      <c r="I109" s="52"/>
      <c r="J109" s="58">
        <f>J108+J107</f>
        <v>580871.25</v>
      </c>
      <c r="K109" s="52"/>
      <c r="L109" s="52"/>
      <c r="M109" s="58">
        <f>M108+M107</f>
        <v>2058351.75</v>
      </c>
      <c r="N109" s="58">
        <f>N108+N107</f>
        <v>0</v>
      </c>
      <c r="O109" s="52"/>
      <c r="P109" s="52"/>
      <c r="Q109" s="52"/>
      <c r="R109" s="58">
        <f>R108+R107</f>
        <v>742500</v>
      </c>
      <c r="S109" s="52"/>
      <c r="T109" s="52"/>
      <c r="U109" s="52"/>
      <c r="V109" s="58">
        <f>V108+V107</f>
        <v>0</v>
      </c>
      <c r="W109" s="52"/>
      <c r="X109" s="52"/>
      <c r="Y109" s="52"/>
      <c r="Z109" s="58">
        <f>Z108+Z107</f>
        <v>0</v>
      </c>
      <c r="AA109" s="52"/>
      <c r="AB109" s="52"/>
      <c r="AC109" s="52"/>
      <c r="AD109" s="58">
        <f>AD108+AD107</f>
        <v>0</v>
      </c>
      <c r="AE109" s="52"/>
      <c r="AF109" s="52"/>
      <c r="AG109" s="52"/>
      <c r="AH109" s="58">
        <f>AH108+AH107</f>
        <v>0</v>
      </c>
      <c r="AI109" s="52"/>
      <c r="AJ109" s="52"/>
      <c r="AK109" s="52"/>
      <c r="AL109" s="58">
        <f>AL108+AL107</f>
        <v>0</v>
      </c>
      <c r="AM109" s="52"/>
      <c r="AN109" s="52"/>
      <c r="AO109" s="52"/>
      <c r="AP109" s="58">
        <f>AP108+AP107</f>
        <v>0</v>
      </c>
      <c r="AQ109" s="52"/>
      <c r="AR109" s="52"/>
      <c r="AS109" s="52"/>
      <c r="AT109" s="58">
        <f>AT108+AT107</f>
        <v>0</v>
      </c>
      <c r="AU109" s="52"/>
      <c r="AV109" s="52"/>
      <c r="AW109" s="52"/>
      <c r="AX109" s="58">
        <f>AX108+AX107</f>
        <v>0</v>
      </c>
      <c r="AY109" s="52"/>
      <c r="AZ109" s="52"/>
      <c r="BA109" s="52"/>
      <c r="BB109" s="58">
        <f>BB108+BB107</f>
        <v>0</v>
      </c>
      <c r="BC109" s="52"/>
      <c r="BD109" s="52"/>
      <c r="BE109" s="52"/>
      <c r="BF109" s="58">
        <f>BF108+BF107</f>
        <v>0</v>
      </c>
      <c r="BG109" s="52"/>
      <c r="BH109" s="52"/>
      <c r="BI109" s="52"/>
      <c r="BJ109" s="58">
        <f>BJ108+BJ107</f>
        <v>0</v>
      </c>
      <c r="BK109" s="52"/>
      <c r="BL109" s="183"/>
      <c r="BM109" s="183"/>
      <c r="BN109" s="183"/>
      <c r="BO109" s="183"/>
      <c r="BP109" s="183"/>
      <c r="BQ109" s="183"/>
      <c r="BR109" s="183"/>
    </row>
    <row r="110" spans="64:70" ht="12.75">
      <c r="BL110" s="184"/>
      <c r="BM110" s="184"/>
      <c r="BN110" s="184"/>
      <c r="BO110" s="184"/>
      <c r="BP110" s="184"/>
      <c r="BQ110" s="184"/>
      <c r="BR110" s="184"/>
    </row>
    <row r="111" spans="64:70" ht="12.75">
      <c r="BL111" s="184"/>
      <c r="BM111" s="184"/>
      <c r="BN111" s="184"/>
      <c r="BO111" s="184"/>
      <c r="BP111" s="184"/>
      <c r="BQ111" s="184"/>
      <c r="BR111" s="184"/>
    </row>
    <row r="112" spans="64:70" ht="12.75">
      <c r="BL112" s="184"/>
      <c r="BM112" s="184"/>
      <c r="BN112" s="184"/>
      <c r="BO112" s="184"/>
      <c r="BP112" s="184"/>
      <c r="BQ112" s="184"/>
      <c r="BR112" s="184"/>
    </row>
    <row r="113" spans="64:70" ht="12.75">
      <c r="BL113" s="184"/>
      <c r="BM113" s="184"/>
      <c r="BN113" s="184"/>
      <c r="BO113" s="184"/>
      <c r="BP113" s="184"/>
      <c r="BQ113" s="184"/>
      <c r="BR113" s="184"/>
    </row>
    <row r="114" spans="64:70" ht="12.75">
      <c r="BL114" s="184"/>
      <c r="BM114" s="184"/>
      <c r="BN114" s="184"/>
      <c r="BO114" s="184"/>
      <c r="BP114" s="184"/>
      <c r="BQ114" s="184"/>
      <c r="BR114" s="184"/>
    </row>
    <row r="115" spans="64:70" ht="12.75">
      <c r="BL115" s="184"/>
      <c r="BM115" s="184"/>
      <c r="BN115" s="184"/>
      <c r="BO115" s="184"/>
      <c r="BP115" s="184"/>
      <c r="BQ115" s="184"/>
      <c r="BR115" s="184"/>
    </row>
    <row r="116" spans="64:70" ht="12.75">
      <c r="BL116" s="184"/>
      <c r="BM116" s="184"/>
      <c r="BN116" s="184"/>
      <c r="BO116" s="184"/>
      <c r="BP116" s="184"/>
      <c r="BQ116" s="184"/>
      <c r="BR116" s="184"/>
    </row>
    <row r="117" spans="64:70" ht="12.75">
      <c r="BL117" s="184"/>
      <c r="BM117" s="184"/>
      <c r="BN117" s="184"/>
      <c r="BO117" s="184"/>
      <c r="BP117" s="184"/>
      <c r="BQ117" s="184"/>
      <c r="BR117" s="184"/>
    </row>
    <row r="118" spans="64:70" ht="12.75">
      <c r="BL118" s="184"/>
      <c r="BM118" s="184"/>
      <c r="BN118" s="184"/>
      <c r="BO118" s="184"/>
      <c r="BP118" s="184"/>
      <c r="BQ118" s="184"/>
      <c r="BR118" s="184"/>
    </row>
    <row r="119" spans="64:70" ht="12.75">
      <c r="BL119" s="184"/>
      <c r="BM119" s="184"/>
      <c r="BN119" s="184"/>
      <c r="BO119" s="184"/>
      <c r="BP119" s="184"/>
      <c r="BQ119" s="184"/>
      <c r="BR119" s="184"/>
    </row>
    <row r="120" spans="64:70" ht="12.75">
      <c r="BL120" s="184"/>
      <c r="BM120" s="184"/>
      <c r="BN120" s="184"/>
      <c r="BO120" s="184"/>
      <c r="BP120" s="184"/>
      <c r="BQ120" s="184"/>
      <c r="BR120" s="184"/>
    </row>
    <row r="121" spans="64:70" ht="12.75">
      <c r="BL121" s="184"/>
      <c r="BM121" s="184"/>
      <c r="BN121" s="184"/>
      <c r="BO121" s="184"/>
      <c r="BP121" s="184"/>
      <c r="BQ121" s="184"/>
      <c r="BR121" s="184"/>
    </row>
    <row r="122" spans="64:70" ht="12.75">
      <c r="BL122" s="184"/>
      <c r="BM122" s="184"/>
      <c r="BN122" s="184"/>
      <c r="BO122" s="184"/>
      <c r="BP122" s="184"/>
      <c r="BQ122" s="184"/>
      <c r="BR122" s="184"/>
    </row>
    <row r="123" spans="64:70" ht="12.75">
      <c r="BL123" s="184"/>
      <c r="BM123" s="184"/>
      <c r="BN123" s="184"/>
      <c r="BO123" s="184"/>
      <c r="BP123" s="184"/>
      <c r="BQ123" s="184"/>
      <c r="BR123" s="184"/>
    </row>
    <row r="124" spans="64:70" ht="12.75">
      <c r="BL124" s="184"/>
      <c r="BM124" s="184"/>
      <c r="BN124" s="184"/>
      <c r="BO124" s="184"/>
      <c r="BP124" s="184"/>
      <c r="BQ124" s="184"/>
      <c r="BR124" s="184"/>
    </row>
    <row r="125" spans="64:70" ht="12.75">
      <c r="BL125" s="184"/>
      <c r="BM125" s="184"/>
      <c r="BN125" s="184"/>
      <c r="BO125" s="184"/>
      <c r="BP125" s="184"/>
      <c r="BQ125" s="184"/>
      <c r="BR125" s="184"/>
    </row>
    <row r="126" spans="64:70" ht="12.75">
      <c r="BL126" s="184"/>
      <c r="BM126" s="184"/>
      <c r="BN126" s="184"/>
      <c r="BO126" s="184"/>
      <c r="BP126" s="184"/>
      <c r="BQ126" s="184"/>
      <c r="BR126" s="184"/>
    </row>
    <row r="127" spans="64:70" ht="12.75">
      <c r="BL127" s="184"/>
      <c r="BM127" s="184"/>
      <c r="BN127" s="184"/>
      <c r="BO127" s="184"/>
      <c r="BP127" s="184"/>
      <c r="BQ127" s="184"/>
      <c r="BR127" s="184"/>
    </row>
    <row r="128" spans="64:70" ht="12.75">
      <c r="BL128" s="184"/>
      <c r="BM128" s="184"/>
      <c r="BN128" s="184"/>
      <c r="BO128" s="184"/>
      <c r="BP128" s="184"/>
      <c r="BQ128" s="184"/>
      <c r="BR128" s="184"/>
    </row>
    <row r="129" spans="64:70" ht="12.75">
      <c r="BL129" s="184"/>
      <c r="BM129" s="184"/>
      <c r="BN129" s="184"/>
      <c r="BO129" s="184"/>
      <c r="BP129" s="184"/>
      <c r="BQ129" s="184"/>
      <c r="BR129" s="184"/>
    </row>
    <row r="130" spans="64:70" ht="12.75">
      <c r="BL130" s="184"/>
      <c r="BM130" s="184"/>
      <c r="BN130" s="184"/>
      <c r="BO130" s="184"/>
      <c r="BP130" s="184"/>
      <c r="BQ130" s="184"/>
      <c r="BR130" s="184"/>
    </row>
    <row r="131" spans="64:70" ht="12.75">
      <c r="BL131" s="184"/>
      <c r="BM131" s="184"/>
      <c r="BN131" s="184"/>
      <c r="BO131" s="184"/>
      <c r="BP131" s="184"/>
      <c r="BQ131" s="184"/>
      <c r="BR131" s="184"/>
    </row>
    <row r="132" spans="64:70" ht="12.75">
      <c r="BL132" s="184"/>
      <c r="BM132" s="184"/>
      <c r="BN132" s="184"/>
      <c r="BO132" s="184"/>
      <c r="BP132" s="184"/>
      <c r="BQ132" s="184"/>
      <c r="BR132" s="184"/>
    </row>
    <row r="133" spans="64:70" ht="12.75">
      <c r="BL133" s="184"/>
      <c r="BM133" s="184"/>
      <c r="BN133" s="184"/>
      <c r="BO133" s="184"/>
      <c r="BP133" s="184"/>
      <c r="BQ133" s="184"/>
      <c r="BR133" s="184"/>
    </row>
    <row r="134" spans="64:70" ht="12.75">
      <c r="BL134" s="184"/>
      <c r="BM134" s="184"/>
      <c r="BN134" s="184"/>
      <c r="BO134" s="184"/>
      <c r="BP134" s="184"/>
      <c r="BQ134" s="184"/>
      <c r="BR134" s="184"/>
    </row>
    <row r="135" spans="64:70" ht="12.75">
      <c r="BL135" s="184"/>
      <c r="BM135" s="184"/>
      <c r="BN135" s="184"/>
      <c r="BO135" s="184"/>
      <c r="BP135" s="184"/>
      <c r="BQ135" s="184"/>
      <c r="BR135" s="184"/>
    </row>
    <row r="136" spans="64:70" ht="12.75">
      <c r="BL136" s="184"/>
      <c r="BM136" s="184"/>
      <c r="BN136" s="184"/>
      <c r="BO136" s="184"/>
      <c r="BP136" s="184"/>
      <c r="BQ136" s="184"/>
      <c r="BR136" s="184"/>
    </row>
    <row r="137" spans="64:70" ht="12.75">
      <c r="BL137" s="184"/>
      <c r="BM137" s="184"/>
      <c r="BN137" s="184"/>
      <c r="BO137" s="184"/>
      <c r="BP137" s="184"/>
      <c r="BQ137" s="184"/>
      <c r="BR137" s="184"/>
    </row>
    <row r="138" spans="64:70" ht="12.75">
      <c r="BL138" s="184"/>
      <c r="BM138" s="184"/>
      <c r="BN138" s="184"/>
      <c r="BO138" s="184"/>
      <c r="BP138" s="184"/>
      <c r="BQ138" s="184"/>
      <c r="BR138" s="184"/>
    </row>
    <row r="139" spans="64:70" ht="12.75">
      <c r="BL139" s="184"/>
      <c r="BM139" s="184"/>
      <c r="BN139" s="184"/>
      <c r="BO139" s="184"/>
      <c r="BP139" s="184"/>
      <c r="BQ139" s="184"/>
      <c r="BR139" s="184"/>
    </row>
    <row r="140" spans="64:70" ht="12.75">
      <c r="BL140" s="184"/>
      <c r="BM140" s="184"/>
      <c r="BN140" s="184"/>
      <c r="BO140" s="184"/>
      <c r="BP140" s="184"/>
      <c r="BQ140" s="184"/>
      <c r="BR140" s="184"/>
    </row>
    <row r="141" spans="64:70" ht="12.75">
      <c r="BL141" s="184"/>
      <c r="BM141" s="184"/>
      <c r="BN141" s="184"/>
      <c r="BO141" s="184"/>
      <c r="BP141" s="184"/>
      <c r="BQ141" s="184"/>
      <c r="BR141" s="184"/>
    </row>
    <row r="142" spans="64:70" ht="12.75">
      <c r="BL142" s="184"/>
      <c r="BM142" s="184"/>
      <c r="BN142" s="184"/>
      <c r="BO142" s="184"/>
      <c r="BP142" s="184"/>
      <c r="BQ142" s="184"/>
      <c r="BR142" s="184"/>
    </row>
    <row r="143" spans="64:70" ht="12.75">
      <c r="BL143" s="184"/>
      <c r="BM143" s="184"/>
      <c r="BN143" s="184"/>
      <c r="BO143" s="184"/>
      <c r="BP143" s="184"/>
      <c r="BQ143" s="184"/>
      <c r="BR143" s="184"/>
    </row>
    <row r="144" spans="64:70" ht="12.75">
      <c r="BL144" s="184"/>
      <c r="BM144" s="184"/>
      <c r="BN144" s="184"/>
      <c r="BO144" s="184"/>
      <c r="BP144" s="184"/>
      <c r="BQ144" s="184"/>
      <c r="BR144" s="184"/>
    </row>
    <row r="145" spans="64:70" ht="12.75">
      <c r="BL145" s="184"/>
      <c r="BM145" s="184"/>
      <c r="BN145" s="184"/>
      <c r="BO145" s="184"/>
      <c r="BP145" s="184"/>
      <c r="BQ145" s="184"/>
      <c r="BR145" s="184"/>
    </row>
    <row r="146" spans="64:70" ht="12.75">
      <c r="BL146" s="184"/>
      <c r="BM146" s="184"/>
      <c r="BN146" s="184"/>
      <c r="BO146" s="184"/>
      <c r="BP146" s="184"/>
      <c r="BQ146" s="184"/>
      <c r="BR146" s="184"/>
    </row>
    <row r="147" spans="64:70" ht="12.75">
      <c r="BL147" s="184"/>
      <c r="BM147" s="184"/>
      <c r="BN147" s="184"/>
      <c r="BO147" s="184"/>
      <c r="BP147" s="184"/>
      <c r="BQ147" s="184"/>
      <c r="BR147" s="184"/>
    </row>
    <row r="148" spans="64:70" ht="12.75">
      <c r="BL148" s="184"/>
      <c r="BM148" s="184"/>
      <c r="BN148" s="184"/>
      <c r="BO148" s="184"/>
      <c r="BP148" s="184"/>
      <c r="BQ148" s="184"/>
      <c r="BR148" s="184"/>
    </row>
    <row r="149" spans="64:70" ht="12.75">
      <c r="BL149" s="184"/>
      <c r="BM149" s="184"/>
      <c r="BN149" s="184"/>
      <c r="BO149" s="184"/>
      <c r="BP149" s="184"/>
      <c r="BQ149" s="184"/>
      <c r="BR149" s="184"/>
    </row>
    <row r="150" spans="64:70" ht="12.75">
      <c r="BL150" s="184"/>
      <c r="BM150" s="184"/>
      <c r="BN150" s="184"/>
      <c r="BO150" s="184"/>
      <c r="BP150" s="184"/>
      <c r="BQ150" s="184"/>
      <c r="BR150" s="184"/>
    </row>
    <row r="151" spans="64:70" ht="12.75">
      <c r="BL151" s="184"/>
      <c r="BM151" s="184"/>
      <c r="BN151" s="184"/>
      <c r="BO151" s="184"/>
      <c r="BP151" s="184"/>
      <c r="BQ151" s="184"/>
      <c r="BR151" s="184"/>
    </row>
    <row r="152" spans="64:70" ht="12.75">
      <c r="BL152" s="184"/>
      <c r="BM152" s="184"/>
      <c r="BN152" s="184"/>
      <c r="BO152" s="184"/>
      <c r="BP152" s="184"/>
      <c r="BQ152" s="184"/>
      <c r="BR152" s="184"/>
    </row>
    <row r="153" spans="64:70" ht="12.75">
      <c r="BL153" s="184"/>
      <c r="BM153" s="184"/>
      <c r="BN153" s="184"/>
      <c r="BO153" s="184"/>
      <c r="BP153" s="184"/>
      <c r="BQ153" s="184"/>
      <c r="BR153" s="184"/>
    </row>
    <row r="154" spans="64:70" ht="12.75">
      <c r="BL154" s="184"/>
      <c r="BM154" s="184"/>
      <c r="BN154" s="184"/>
      <c r="BO154" s="184"/>
      <c r="BP154" s="184"/>
      <c r="BQ154" s="184"/>
      <c r="BR154" s="184"/>
    </row>
    <row r="155" spans="64:70" ht="12.75">
      <c r="BL155" s="184"/>
      <c r="BM155" s="184"/>
      <c r="BN155" s="184"/>
      <c r="BO155" s="184"/>
      <c r="BP155" s="184"/>
      <c r="BQ155" s="184"/>
      <c r="BR155" s="184"/>
    </row>
    <row r="156" spans="64:70" ht="12.75">
      <c r="BL156" s="184"/>
      <c r="BM156" s="184"/>
      <c r="BN156" s="184"/>
      <c r="BO156" s="184"/>
      <c r="BP156" s="184"/>
      <c r="BQ156" s="184"/>
      <c r="BR156" s="184"/>
    </row>
    <row r="157" spans="64:70" ht="12.75">
      <c r="BL157" s="184"/>
      <c r="BM157" s="184"/>
      <c r="BN157" s="184"/>
      <c r="BO157" s="184"/>
      <c r="BP157" s="184"/>
      <c r="BQ157" s="184"/>
      <c r="BR157" s="184"/>
    </row>
    <row r="158" spans="64:70" ht="12.75">
      <c r="BL158" s="184"/>
      <c r="BM158" s="184"/>
      <c r="BN158" s="184"/>
      <c r="BO158" s="184"/>
      <c r="BP158" s="184"/>
      <c r="BQ158" s="184"/>
      <c r="BR158" s="184"/>
    </row>
    <row r="159" spans="64:70" ht="12.75">
      <c r="BL159" s="184"/>
      <c r="BM159" s="184"/>
      <c r="BN159" s="184"/>
      <c r="BO159" s="184"/>
      <c r="BP159" s="184"/>
      <c r="BQ159" s="184"/>
      <c r="BR159" s="184"/>
    </row>
    <row r="160" spans="64:70" ht="12.75">
      <c r="BL160" s="184"/>
      <c r="BM160" s="184"/>
      <c r="BN160" s="184"/>
      <c r="BO160" s="184"/>
      <c r="BP160" s="184"/>
      <c r="BQ160" s="184"/>
      <c r="BR160" s="184"/>
    </row>
    <row r="161" spans="64:70" ht="12.75">
      <c r="BL161" s="184"/>
      <c r="BM161" s="184"/>
      <c r="BN161" s="184"/>
      <c r="BO161" s="184"/>
      <c r="BP161" s="184"/>
      <c r="BQ161" s="184"/>
      <c r="BR161" s="184"/>
    </row>
    <row r="162" spans="64:70" ht="12.75">
      <c r="BL162" s="184"/>
      <c r="BM162" s="184"/>
      <c r="BN162" s="184"/>
      <c r="BO162" s="184"/>
      <c r="BP162" s="184"/>
      <c r="BQ162" s="184"/>
      <c r="BR162" s="184"/>
    </row>
    <row r="163" spans="64:70" ht="12.75">
      <c r="BL163" s="184"/>
      <c r="BM163" s="184"/>
      <c r="BN163" s="184"/>
      <c r="BO163" s="184"/>
      <c r="BP163" s="184"/>
      <c r="BQ163" s="184"/>
      <c r="BR163" s="184"/>
    </row>
    <row r="164" spans="64:70" ht="12.75">
      <c r="BL164" s="184"/>
      <c r="BM164" s="184"/>
      <c r="BN164" s="184"/>
      <c r="BO164" s="184"/>
      <c r="BP164" s="184"/>
      <c r="BQ164" s="184"/>
      <c r="BR164" s="184"/>
    </row>
    <row r="165" spans="64:70" ht="12.75">
      <c r="BL165" s="184"/>
      <c r="BM165" s="184"/>
      <c r="BN165" s="184"/>
      <c r="BO165" s="184"/>
      <c r="BP165" s="184"/>
      <c r="BQ165" s="184"/>
      <c r="BR165" s="184"/>
    </row>
    <row r="166" spans="64:70" ht="12.75">
      <c r="BL166" s="184"/>
      <c r="BM166" s="184"/>
      <c r="BN166" s="184"/>
      <c r="BO166" s="184"/>
      <c r="BP166" s="184"/>
      <c r="BQ166" s="184"/>
      <c r="BR166" s="184"/>
    </row>
    <row r="167" spans="64:70" ht="12.75">
      <c r="BL167" s="184"/>
      <c r="BM167" s="184"/>
      <c r="BN167" s="184"/>
      <c r="BO167" s="184"/>
      <c r="BP167" s="184"/>
      <c r="BQ167" s="184"/>
      <c r="BR167" s="184"/>
    </row>
    <row r="168" spans="64:70" ht="12.75">
      <c r="BL168" s="184"/>
      <c r="BM168" s="184"/>
      <c r="BN168" s="184"/>
      <c r="BO168" s="184"/>
      <c r="BP168" s="184"/>
      <c r="BQ168" s="184"/>
      <c r="BR168" s="184"/>
    </row>
    <row r="169" spans="64:70" ht="12.75">
      <c r="BL169" s="184"/>
      <c r="BM169" s="184"/>
      <c r="BN169" s="184"/>
      <c r="BO169" s="184"/>
      <c r="BP169" s="184"/>
      <c r="BQ169" s="184"/>
      <c r="BR169" s="184"/>
    </row>
    <row r="170" spans="64:70" ht="12.75">
      <c r="BL170" s="184"/>
      <c r="BM170" s="184"/>
      <c r="BN170" s="184"/>
      <c r="BO170" s="184"/>
      <c r="BP170" s="184"/>
      <c r="BQ170" s="184"/>
      <c r="BR170" s="184"/>
    </row>
    <row r="171" spans="64:70" ht="12.75">
      <c r="BL171" s="184"/>
      <c r="BM171" s="184"/>
      <c r="BN171" s="184"/>
      <c r="BO171" s="184"/>
      <c r="BP171" s="184"/>
      <c r="BQ171" s="184"/>
      <c r="BR171" s="184"/>
    </row>
  </sheetData>
  <sheetProtection formatCells="0" insertRows="0"/>
  <mergeCells count="19">
    <mergeCell ref="BH7:BK7"/>
    <mergeCell ref="AJ7:AM7"/>
    <mergeCell ref="AN7:AQ7"/>
    <mergeCell ref="AR7:AU7"/>
    <mergeCell ref="AV7:AY7"/>
    <mergeCell ref="AZ7:BC7"/>
    <mergeCell ref="BD7:BG7"/>
    <mergeCell ref="L7:O7"/>
    <mergeCell ref="P7:S7"/>
    <mergeCell ref="T7:W7"/>
    <mergeCell ref="X7:AA7"/>
    <mergeCell ref="AB7:AE7"/>
    <mergeCell ref="AF7:AI7"/>
    <mergeCell ref="C2:E2"/>
    <mergeCell ref="C1:E1"/>
    <mergeCell ref="G1:G3"/>
    <mergeCell ref="H7:K7"/>
    <mergeCell ref="E3:F3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2"/>
  <sheetViews>
    <sheetView view="pageBreakPreview" zoomScale="80" zoomScaleNormal="110" zoomScaleSheetLayoutView="80" zoomScalePageLayoutView="0" workbookViewId="0" topLeftCell="A1">
      <pane xSplit="6" ySplit="6" topLeftCell="G5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74" sqref="I74"/>
    </sheetView>
  </sheetViews>
  <sheetFormatPr defaultColWidth="9.140625" defaultRowHeight="12.75"/>
  <cols>
    <col min="1" max="1" width="39.8515625" style="3" customWidth="1"/>
    <col min="2" max="2" width="9.140625" style="4" customWidth="1"/>
    <col min="3" max="3" width="10.57421875" style="3" customWidth="1"/>
    <col min="4" max="5" width="9.140625" style="3" customWidth="1"/>
    <col min="6" max="8" width="10.421875" style="3" customWidth="1"/>
    <col min="9" max="9" width="20.140625" style="34" customWidth="1"/>
    <col min="10" max="10" width="13.57421875" style="3" customWidth="1"/>
    <col min="11" max="11" width="14.421875" style="3" customWidth="1"/>
    <col min="12" max="12" width="31.421875" style="34" customWidth="1"/>
    <col min="13" max="13" width="20.140625" style="34" customWidth="1"/>
    <col min="14" max="14" width="13.57421875" style="3" customWidth="1"/>
    <col min="15" max="15" width="14.421875" style="3" customWidth="1"/>
    <col min="16" max="16" width="31.421875" style="34" customWidth="1"/>
    <col min="17" max="17" width="20.140625" style="34" customWidth="1"/>
    <col min="18" max="18" width="13.57421875" style="3" customWidth="1"/>
    <col min="19" max="19" width="14.421875" style="3" customWidth="1"/>
    <col min="20" max="20" width="31.421875" style="34" customWidth="1"/>
    <col min="21" max="21" width="20.140625" style="34" customWidth="1"/>
    <col min="22" max="22" width="13.57421875" style="3" customWidth="1"/>
    <col min="23" max="23" width="14.421875" style="3" customWidth="1"/>
    <col min="24" max="24" width="31.421875" style="34" customWidth="1"/>
    <col min="25" max="25" width="23.140625" style="34" customWidth="1"/>
    <col min="26" max="26" width="13.57421875" style="3" customWidth="1"/>
    <col min="27" max="27" width="14.421875" style="3" customWidth="1"/>
    <col min="28" max="28" width="31.421875" style="34" customWidth="1"/>
    <col min="29" max="29" width="20.140625" style="34" customWidth="1"/>
    <col min="30" max="30" width="13.57421875" style="3" customWidth="1"/>
    <col min="31" max="31" width="14.421875" style="3" customWidth="1"/>
    <col min="32" max="32" width="31.421875" style="34" customWidth="1"/>
    <col min="33" max="33" width="20.140625" style="34" hidden="1" customWidth="1"/>
    <col min="34" max="34" width="13.57421875" style="3" hidden="1" customWidth="1"/>
    <col min="35" max="35" width="14.421875" style="3" hidden="1" customWidth="1"/>
    <col min="36" max="36" width="31.421875" style="34" hidden="1" customWidth="1"/>
    <col min="37" max="37" width="13.57421875" style="3" hidden="1" customWidth="1"/>
    <col min="38" max="38" width="14.421875" style="3" hidden="1" customWidth="1"/>
    <col min="39" max="39" width="31.421875" style="34" hidden="1" customWidth="1"/>
    <col min="40" max="40" width="20.140625" style="34" hidden="1" customWidth="1"/>
    <col min="41" max="41" width="13.57421875" style="3" hidden="1" customWidth="1"/>
    <col min="42" max="42" width="14.421875" style="3" hidden="1" customWidth="1"/>
    <col min="43" max="43" width="31.421875" style="34" hidden="1" customWidth="1"/>
    <col min="44" max="44" width="20.140625" style="34" hidden="1" customWidth="1"/>
    <col min="45" max="45" width="13.57421875" style="3" hidden="1" customWidth="1"/>
    <col min="46" max="46" width="14.421875" style="3" hidden="1" customWidth="1"/>
    <col min="47" max="47" width="31.421875" style="34" hidden="1" customWidth="1"/>
    <col min="48" max="16384" width="9.140625" style="3" customWidth="1"/>
  </cols>
  <sheetData>
    <row r="1" spans="1:8" ht="12.75" customHeight="1" hidden="1">
      <c r="A1" s="1" t="s">
        <v>185</v>
      </c>
      <c r="B1" s="2"/>
      <c r="C1" s="383" t="s">
        <v>189</v>
      </c>
      <c r="D1" s="383"/>
      <c r="E1" s="383"/>
      <c r="F1" s="1"/>
      <c r="G1" s="249"/>
      <c r="H1" s="249"/>
    </row>
    <row r="2" spans="1:8" ht="12.75" customHeight="1" hidden="1">
      <c r="A2" s="1" t="s">
        <v>186</v>
      </c>
      <c r="B2" s="2"/>
      <c r="C2" s="383" t="s">
        <v>190</v>
      </c>
      <c r="D2" s="383"/>
      <c r="E2" s="383"/>
      <c r="F2" s="1"/>
      <c r="G2" s="249"/>
      <c r="H2" s="249"/>
    </row>
    <row r="3" spans="1:8" ht="12.75" customHeight="1" hidden="1">
      <c r="A3" s="1" t="s">
        <v>187</v>
      </c>
      <c r="B3" s="2"/>
      <c r="C3" s="383" t="s">
        <v>191</v>
      </c>
      <c r="D3" s="383"/>
      <c r="E3" s="383"/>
      <c r="F3" s="1"/>
      <c r="G3" s="249"/>
      <c r="H3" s="249"/>
    </row>
    <row r="4" spans="1:8" ht="13.5" hidden="1" thickBot="1">
      <c r="A4" s="1" t="s">
        <v>188</v>
      </c>
      <c r="B4" s="2"/>
      <c r="C4" s="1"/>
      <c r="D4" s="1"/>
      <c r="E4" s="1"/>
      <c r="F4" s="1"/>
      <c r="G4" s="249"/>
      <c r="H4" s="249"/>
    </row>
    <row r="5" spans="9:47" ht="20.25" customHeight="1" thickBot="1">
      <c r="I5" s="384" t="s">
        <v>290</v>
      </c>
      <c r="J5" s="385"/>
      <c r="K5" s="385"/>
      <c r="L5" s="386"/>
      <c r="M5" s="387" t="s">
        <v>297</v>
      </c>
      <c r="N5" s="388"/>
      <c r="O5" s="388"/>
      <c r="P5" s="389"/>
      <c r="Q5" s="377" t="s">
        <v>342</v>
      </c>
      <c r="R5" s="378"/>
      <c r="S5" s="378"/>
      <c r="T5" s="379"/>
      <c r="U5" s="380" t="s">
        <v>353</v>
      </c>
      <c r="V5" s="380"/>
      <c r="W5" s="380"/>
      <c r="X5" s="381"/>
      <c r="Y5" s="382" t="s">
        <v>325</v>
      </c>
      <c r="Z5" s="380"/>
      <c r="AA5" s="380"/>
      <c r="AB5" s="381"/>
      <c r="AC5" s="380" t="s">
        <v>397</v>
      </c>
      <c r="AD5" s="380"/>
      <c r="AE5" s="380"/>
      <c r="AF5" s="381"/>
      <c r="AG5" s="382" t="s">
        <v>340</v>
      </c>
      <c r="AH5" s="380"/>
      <c r="AI5" s="380"/>
      <c r="AJ5" s="381"/>
      <c r="AK5" s="382" t="s">
        <v>340</v>
      </c>
      <c r="AL5" s="380"/>
      <c r="AM5" s="381"/>
      <c r="AN5" s="382" t="s">
        <v>340</v>
      </c>
      <c r="AO5" s="380"/>
      <c r="AP5" s="380"/>
      <c r="AQ5" s="381"/>
      <c r="AR5" s="382" t="s">
        <v>340</v>
      </c>
      <c r="AS5" s="380"/>
      <c r="AT5" s="380"/>
      <c r="AU5" s="381"/>
    </row>
    <row r="6" spans="1:47" ht="51.75" thickBot="1">
      <c r="A6" s="273" t="s">
        <v>21</v>
      </c>
      <c r="B6" s="274" t="s">
        <v>22</v>
      </c>
      <c r="C6" s="275" t="s">
        <v>0</v>
      </c>
      <c r="D6" s="273" t="s">
        <v>23</v>
      </c>
      <c r="E6" s="240" t="s">
        <v>24</v>
      </c>
      <c r="F6" s="240" t="s">
        <v>350</v>
      </c>
      <c r="G6" s="240" t="s">
        <v>351</v>
      </c>
      <c r="H6" s="240" t="s">
        <v>352</v>
      </c>
      <c r="I6" s="276" t="s">
        <v>97</v>
      </c>
      <c r="J6" s="276" t="s">
        <v>232</v>
      </c>
      <c r="K6" s="276" t="s">
        <v>230</v>
      </c>
      <c r="L6" s="276" t="s">
        <v>96</v>
      </c>
      <c r="M6" s="277" t="s">
        <v>97</v>
      </c>
      <c r="N6" s="277" t="s">
        <v>232</v>
      </c>
      <c r="O6" s="277" t="s">
        <v>230</v>
      </c>
      <c r="P6" s="277" t="s">
        <v>96</v>
      </c>
      <c r="Q6" s="278" t="s">
        <v>97</v>
      </c>
      <c r="R6" s="278" t="s">
        <v>232</v>
      </c>
      <c r="S6" s="278" t="s">
        <v>230</v>
      </c>
      <c r="T6" s="263" t="s">
        <v>96</v>
      </c>
      <c r="U6" s="220" t="s">
        <v>97</v>
      </c>
      <c r="V6" s="53" t="s">
        <v>232</v>
      </c>
      <c r="W6" s="53" t="s">
        <v>230</v>
      </c>
      <c r="X6" s="227" t="s">
        <v>96</v>
      </c>
      <c r="Y6" s="219" t="s">
        <v>97</v>
      </c>
      <c r="Z6" s="53" t="s">
        <v>232</v>
      </c>
      <c r="AA6" s="53" t="s">
        <v>230</v>
      </c>
      <c r="AB6" s="227" t="s">
        <v>96</v>
      </c>
      <c r="AC6" s="220" t="s">
        <v>97</v>
      </c>
      <c r="AD6" s="53" t="s">
        <v>232</v>
      </c>
      <c r="AE6" s="53" t="s">
        <v>230</v>
      </c>
      <c r="AF6" s="53" t="s">
        <v>96</v>
      </c>
      <c r="AG6" s="53" t="s">
        <v>97</v>
      </c>
      <c r="AH6" s="53" t="s">
        <v>232</v>
      </c>
      <c r="AI6" s="53" t="s">
        <v>230</v>
      </c>
      <c r="AJ6" s="53" t="s">
        <v>96</v>
      </c>
      <c r="AK6" s="53" t="s">
        <v>232</v>
      </c>
      <c r="AL6" s="53" t="s">
        <v>230</v>
      </c>
      <c r="AM6" s="53" t="s">
        <v>96</v>
      </c>
      <c r="AN6" s="53" t="s">
        <v>97</v>
      </c>
      <c r="AO6" s="53" t="s">
        <v>232</v>
      </c>
      <c r="AP6" s="53" t="s">
        <v>230</v>
      </c>
      <c r="AQ6" s="53" t="s">
        <v>96</v>
      </c>
      <c r="AR6" s="53" t="s">
        <v>97</v>
      </c>
      <c r="AS6" s="53" t="s">
        <v>232</v>
      </c>
      <c r="AT6" s="53" t="s">
        <v>230</v>
      </c>
      <c r="AU6" s="53" t="s">
        <v>96</v>
      </c>
    </row>
    <row r="7" spans="1:47" ht="12.75">
      <c r="A7" s="52" t="s">
        <v>347</v>
      </c>
      <c r="B7" s="52"/>
      <c r="C7" s="52"/>
      <c r="D7" s="52"/>
      <c r="E7" s="52"/>
      <c r="F7" s="241">
        <f>G7+H7</f>
        <v>1712585</v>
      </c>
      <c r="G7" s="241">
        <f>J7+N7+R7</f>
        <v>0</v>
      </c>
      <c r="H7" s="241">
        <f>K7+O7+S7</f>
        <v>1712585</v>
      </c>
      <c r="I7" s="279"/>
      <c r="J7" s="250">
        <f>SUM(J8:J20)</f>
        <v>0</v>
      </c>
      <c r="K7" s="250">
        <f>SUM(K8:K20)</f>
        <v>767585</v>
      </c>
      <c r="L7" s="279"/>
      <c r="M7" s="280"/>
      <c r="N7" s="256">
        <f>SUM(N8:N20)</f>
        <v>0</v>
      </c>
      <c r="O7" s="256">
        <f>SUM(O8:O20)</f>
        <v>0</v>
      </c>
      <c r="P7" s="280"/>
      <c r="Q7" s="52"/>
      <c r="R7" s="241">
        <f>SUM(R8:R20)</f>
        <v>0</v>
      </c>
      <c r="S7" s="241">
        <f>SUM(S8:S20)</f>
        <v>945000</v>
      </c>
      <c r="T7" s="246"/>
      <c r="U7" s="221"/>
      <c r="V7" s="174">
        <f>SUM(V8:V20)</f>
        <v>0</v>
      </c>
      <c r="W7" s="174">
        <f>SUM(W8:W20)</f>
        <v>0</v>
      </c>
      <c r="X7" s="229"/>
      <c r="Y7" s="228"/>
      <c r="Z7" s="174">
        <f>SUM(Z8:Z20)</f>
        <v>0</v>
      </c>
      <c r="AA7" s="174">
        <f>SUM(AA8:AA20)</f>
        <v>230000</v>
      </c>
      <c r="AB7" s="229"/>
      <c r="AC7" s="221"/>
      <c r="AD7" s="174">
        <f>SUM(AD8:AD20)</f>
        <v>0</v>
      </c>
      <c r="AE7" s="174">
        <f>SUM(AE8:AE20)</f>
        <v>7000000</v>
      </c>
      <c r="AF7" s="110"/>
      <c r="AG7" s="110"/>
      <c r="AH7" s="174">
        <f>SUM(AH8:AH20)</f>
        <v>0</v>
      </c>
      <c r="AI7" s="174">
        <f>SUM(AI8:AI20)</f>
        <v>0</v>
      </c>
      <c r="AJ7" s="110"/>
      <c r="AK7" s="174">
        <f>SUM(AK8:AK20)</f>
        <v>0</v>
      </c>
      <c r="AL7" s="174">
        <f>SUM(AL8:AL20)</f>
        <v>0</v>
      </c>
      <c r="AM7" s="110"/>
      <c r="AN7" s="110"/>
      <c r="AO7" s="174">
        <f>SUM(AO8:AO20)</f>
        <v>0</v>
      </c>
      <c r="AP7" s="174">
        <f>SUM(AP8:AP20)</f>
        <v>0</v>
      </c>
      <c r="AQ7" s="110"/>
      <c r="AR7" s="110"/>
      <c r="AS7" s="174">
        <f>SUM(AS8:AS20)</f>
        <v>0</v>
      </c>
      <c r="AT7" s="174">
        <f>SUM(AT8:AT20)</f>
        <v>0</v>
      </c>
      <c r="AU7" s="110"/>
    </row>
    <row r="8" spans="1:47" ht="102">
      <c r="A8" s="27" t="s">
        <v>106</v>
      </c>
      <c r="B8" s="8"/>
      <c r="C8" s="36" t="s">
        <v>65</v>
      </c>
      <c r="D8" s="37"/>
      <c r="E8" s="38"/>
      <c r="F8" s="242">
        <f aca="true" t="shared" si="0" ref="F8:F72">G8+H8</f>
        <v>361000</v>
      </c>
      <c r="G8" s="241">
        <f aca="true" t="shared" si="1" ref="G8:G72">J8+N8+R8</f>
        <v>0</v>
      </c>
      <c r="H8" s="241">
        <f aca="true" t="shared" si="2" ref="H8:H72">K8+O8+S8</f>
        <v>361000</v>
      </c>
      <c r="I8" s="254" t="s">
        <v>267</v>
      </c>
      <c r="J8" s="1"/>
      <c r="K8" s="251">
        <v>361000</v>
      </c>
      <c r="L8" s="254"/>
      <c r="M8" s="261"/>
      <c r="N8" s="257"/>
      <c r="O8" s="258"/>
      <c r="P8" s="261"/>
      <c r="Q8" s="270"/>
      <c r="R8" s="264"/>
      <c r="S8" s="265"/>
      <c r="T8" s="266"/>
      <c r="U8" s="222"/>
      <c r="V8" s="173"/>
      <c r="W8" s="33"/>
      <c r="X8" s="230"/>
      <c r="Y8" s="49" t="s">
        <v>377</v>
      </c>
      <c r="Z8" s="173"/>
      <c r="AA8" s="295">
        <v>230000</v>
      </c>
      <c r="AB8" s="230"/>
      <c r="AC8" s="222"/>
      <c r="AD8" s="173"/>
      <c r="AE8" s="33">
        <v>7000000</v>
      </c>
      <c r="AF8" s="172" t="s">
        <v>402</v>
      </c>
      <c r="AG8" s="172"/>
      <c r="AH8" s="173"/>
      <c r="AI8" s="33"/>
      <c r="AJ8" s="172"/>
      <c r="AK8" s="173"/>
      <c r="AL8" s="33"/>
      <c r="AM8" s="172"/>
      <c r="AN8" s="172"/>
      <c r="AO8" s="173"/>
      <c r="AP8" s="33"/>
      <c r="AQ8" s="172"/>
      <c r="AR8" s="172"/>
      <c r="AS8" s="173"/>
      <c r="AT8" s="33"/>
      <c r="AU8" s="172"/>
    </row>
    <row r="9" spans="1:47" ht="25.5">
      <c r="A9" s="27" t="s">
        <v>110</v>
      </c>
      <c r="B9" s="8"/>
      <c r="C9" s="36" t="s">
        <v>66</v>
      </c>
      <c r="D9" s="37"/>
      <c r="E9" s="38"/>
      <c r="F9" s="242">
        <f t="shared" si="0"/>
        <v>0</v>
      </c>
      <c r="G9" s="241">
        <f t="shared" si="1"/>
        <v>0</v>
      </c>
      <c r="H9" s="241">
        <f t="shared" si="2"/>
        <v>0</v>
      </c>
      <c r="I9" s="254"/>
      <c r="J9" s="1"/>
      <c r="K9" s="1"/>
      <c r="L9" s="254"/>
      <c r="M9" s="261"/>
      <c r="N9" s="257"/>
      <c r="O9" s="257"/>
      <c r="P9" s="261"/>
      <c r="Q9" s="270"/>
      <c r="R9" s="264"/>
      <c r="S9" s="264"/>
      <c r="T9" s="266"/>
      <c r="U9" s="223"/>
      <c r="V9" s="171"/>
      <c r="W9" s="171"/>
      <c r="X9" s="232"/>
      <c r="Y9" s="231"/>
      <c r="Z9" s="171"/>
      <c r="AA9" s="171"/>
      <c r="AB9" s="232"/>
      <c r="AC9" s="223"/>
      <c r="AD9" s="171"/>
      <c r="AE9" s="171"/>
      <c r="AF9" s="49"/>
      <c r="AG9" s="49"/>
      <c r="AH9" s="171"/>
      <c r="AI9" s="171"/>
      <c r="AJ9" s="49"/>
      <c r="AK9" s="171"/>
      <c r="AL9" s="171"/>
      <c r="AM9" s="49"/>
      <c r="AN9" s="49"/>
      <c r="AO9" s="171"/>
      <c r="AP9" s="171"/>
      <c r="AQ9" s="49"/>
      <c r="AR9" s="49"/>
      <c r="AS9" s="171"/>
      <c r="AT9" s="171"/>
      <c r="AU9" s="49"/>
    </row>
    <row r="10" spans="1:47" ht="12.75">
      <c r="A10" s="27" t="s">
        <v>192</v>
      </c>
      <c r="B10" s="8"/>
      <c r="C10" s="36" t="s">
        <v>66</v>
      </c>
      <c r="D10" s="37"/>
      <c r="E10" s="38"/>
      <c r="F10" s="242">
        <f t="shared" si="0"/>
        <v>0</v>
      </c>
      <c r="G10" s="241">
        <f t="shared" si="1"/>
        <v>0</v>
      </c>
      <c r="H10" s="241">
        <f t="shared" si="2"/>
        <v>0</v>
      </c>
      <c r="I10" s="254"/>
      <c r="J10" s="1"/>
      <c r="K10" s="1"/>
      <c r="L10" s="254"/>
      <c r="M10" s="261"/>
      <c r="N10" s="257"/>
      <c r="O10" s="257"/>
      <c r="P10" s="261"/>
      <c r="Q10" s="270"/>
      <c r="R10" s="264"/>
      <c r="S10" s="264"/>
      <c r="T10" s="266"/>
      <c r="U10" s="223"/>
      <c r="V10" s="171"/>
      <c r="W10" s="171"/>
      <c r="X10" s="232"/>
      <c r="Y10" s="231"/>
      <c r="Z10" s="171"/>
      <c r="AA10" s="171"/>
      <c r="AB10" s="232"/>
      <c r="AC10" s="223"/>
      <c r="AD10" s="171"/>
      <c r="AE10" s="171"/>
      <c r="AF10" s="49"/>
      <c r="AG10" s="49"/>
      <c r="AH10" s="171"/>
      <c r="AI10" s="171"/>
      <c r="AJ10" s="49"/>
      <c r="AK10" s="171"/>
      <c r="AL10" s="171"/>
      <c r="AM10" s="49"/>
      <c r="AN10" s="49"/>
      <c r="AO10" s="171"/>
      <c r="AP10" s="171"/>
      <c r="AQ10" s="49"/>
      <c r="AR10" s="49"/>
      <c r="AS10" s="171"/>
      <c r="AT10" s="171"/>
      <c r="AU10" s="49"/>
    </row>
    <row r="11" spans="1:47" ht="25.5">
      <c r="A11" s="27" t="s">
        <v>193</v>
      </c>
      <c r="B11" s="8"/>
      <c r="C11" s="36" t="s">
        <v>66</v>
      </c>
      <c r="D11" s="37"/>
      <c r="E11" s="38"/>
      <c r="F11" s="242">
        <f t="shared" si="0"/>
        <v>45000</v>
      </c>
      <c r="G11" s="241">
        <f t="shared" si="1"/>
        <v>0</v>
      </c>
      <c r="H11" s="241">
        <f t="shared" si="2"/>
        <v>45000</v>
      </c>
      <c r="I11" s="254"/>
      <c r="J11" s="1"/>
      <c r="K11" s="1"/>
      <c r="L11" s="254"/>
      <c r="M11" s="261"/>
      <c r="N11" s="257"/>
      <c r="O11" s="257"/>
      <c r="P11" s="261"/>
      <c r="Q11" s="270" t="s">
        <v>344</v>
      </c>
      <c r="R11" s="264"/>
      <c r="S11" s="264">
        <v>45000</v>
      </c>
      <c r="T11" s="266" t="s">
        <v>343</v>
      </c>
      <c r="U11" s="223"/>
      <c r="V11" s="171"/>
      <c r="W11" s="171"/>
      <c r="X11" s="232"/>
      <c r="Y11" s="231"/>
      <c r="Z11" s="171"/>
      <c r="AA11" s="171"/>
      <c r="AB11" s="232"/>
      <c r="AC11" s="223"/>
      <c r="AD11" s="171"/>
      <c r="AE11" s="171"/>
      <c r="AF11" s="49"/>
      <c r="AG11" s="49"/>
      <c r="AH11" s="171"/>
      <c r="AI11" s="171"/>
      <c r="AJ11" s="49"/>
      <c r="AK11" s="171"/>
      <c r="AL11" s="171"/>
      <c r="AM11" s="49"/>
      <c r="AN11" s="49"/>
      <c r="AO11" s="171"/>
      <c r="AP11" s="171"/>
      <c r="AQ11" s="49"/>
      <c r="AR11" s="49"/>
      <c r="AS11" s="171"/>
      <c r="AT11" s="171"/>
      <c r="AU11" s="49"/>
    </row>
    <row r="12" spans="1:47" ht="25.5">
      <c r="A12" s="27" t="s">
        <v>194</v>
      </c>
      <c r="B12" s="8"/>
      <c r="C12" s="36" t="s">
        <v>66</v>
      </c>
      <c r="D12" s="37"/>
      <c r="E12" s="38"/>
      <c r="F12" s="242">
        <f t="shared" si="0"/>
        <v>0</v>
      </c>
      <c r="G12" s="241">
        <f t="shared" si="1"/>
        <v>0</v>
      </c>
      <c r="H12" s="241">
        <f t="shared" si="2"/>
        <v>0</v>
      </c>
      <c r="I12" s="254"/>
      <c r="J12" s="1"/>
      <c r="K12" s="1"/>
      <c r="L12" s="254"/>
      <c r="M12" s="261"/>
      <c r="N12" s="257"/>
      <c r="O12" s="257"/>
      <c r="P12" s="261"/>
      <c r="Q12" s="270"/>
      <c r="R12" s="264"/>
      <c r="S12" s="264"/>
      <c r="T12" s="266"/>
      <c r="U12" s="223"/>
      <c r="V12" s="171"/>
      <c r="W12" s="171"/>
      <c r="X12" s="232"/>
      <c r="Y12" s="231"/>
      <c r="Z12" s="171"/>
      <c r="AA12" s="171"/>
      <c r="AB12" s="232"/>
      <c r="AC12" s="223"/>
      <c r="AD12" s="171"/>
      <c r="AE12" s="171"/>
      <c r="AF12" s="49"/>
      <c r="AG12" s="49"/>
      <c r="AH12" s="171"/>
      <c r="AI12" s="171"/>
      <c r="AJ12" s="49"/>
      <c r="AK12" s="171"/>
      <c r="AL12" s="171"/>
      <c r="AM12" s="49"/>
      <c r="AN12" s="49"/>
      <c r="AO12" s="171"/>
      <c r="AP12" s="171"/>
      <c r="AQ12" s="49"/>
      <c r="AR12" s="49"/>
      <c r="AS12" s="171"/>
      <c r="AT12" s="171"/>
      <c r="AU12" s="49"/>
    </row>
    <row r="13" spans="1:47" ht="76.5">
      <c r="A13" s="27" t="s">
        <v>111</v>
      </c>
      <c r="B13" s="8"/>
      <c r="C13" s="36" t="s">
        <v>178</v>
      </c>
      <c r="D13" s="37"/>
      <c r="E13" s="38"/>
      <c r="F13" s="243">
        <f t="shared" si="0"/>
        <v>1181417</v>
      </c>
      <c r="G13" s="241">
        <f t="shared" si="1"/>
        <v>0</v>
      </c>
      <c r="H13" s="241">
        <f t="shared" si="2"/>
        <v>1181417</v>
      </c>
      <c r="I13" s="254" t="s">
        <v>268</v>
      </c>
      <c r="J13" s="1"/>
      <c r="K13" s="252">
        <v>281417</v>
      </c>
      <c r="L13" s="254" t="s">
        <v>269</v>
      </c>
      <c r="M13" s="261"/>
      <c r="N13" s="257"/>
      <c r="O13" s="259"/>
      <c r="P13" s="261"/>
      <c r="Q13" s="270" t="s">
        <v>345</v>
      </c>
      <c r="R13" s="264"/>
      <c r="S13" s="267">
        <v>900000</v>
      </c>
      <c r="T13" s="266" t="s">
        <v>343</v>
      </c>
      <c r="U13" s="223"/>
      <c r="V13" s="171"/>
      <c r="W13" s="175"/>
      <c r="X13" s="232"/>
      <c r="Y13" s="231"/>
      <c r="Z13" s="171"/>
      <c r="AA13" s="175"/>
      <c r="AB13" s="232"/>
      <c r="AC13" s="223"/>
      <c r="AD13" s="171"/>
      <c r="AE13" s="175"/>
      <c r="AF13" s="49"/>
      <c r="AG13" s="49"/>
      <c r="AH13" s="171"/>
      <c r="AI13" s="175"/>
      <c r="AJ13" s="49"/>
      <c r="AK13" s="171"/>
      <c r="AL13" s="175"/>
      <c r="AM13" s="49"/>
      <c r="AN13" s="49"/>
      <c r="AO13" s="171"/>
      <c r="AP13" s="175"/>
      <c r="AQ13" s="49"/>
      <c r="AR13" s="49"/>
      <c r="AS13" s="171"/>
      <c r="AT13" s="175"/>
      <c r="AU13" s="49"/>
    </row>
    <row r="14" spans="1:47" ht="12.75">
      <c r="A14" s="27" t="s">
        <v>112</v>
      </c>
      <c r="B14" s="8"/>
      <c r="C14" s="36" t="s">
        <v>178</v>
      </c>
      <c r="D14" s="37"/>
      <c r="E14" s="38"/>
      <c r="F14" s="242">
        <f t="shared" si="0"/>
        <v>0</v>
      </c>
      <c r="G14" s="241">
        <f t="shared" si="1"/>
        <v>0</v>
      </c>
      <c r="H14" s="241">
        <f t="shared" si="2"/>
        <v>0</v>
      </c>
      <c r="I14" s="254"/>
      <c r="J14" s="1"/>
      <c r="K14" s="1"/>
      <c r="L14" s="254"/>
      <c r="M14" s="261"/>
      <c r="N14" s="257"/>
      <c r="O14" s="257"/>
      <c r="P14" s="261"/>
      <c r="Q14" s="270"/>
      <c r="R14" s="264"/>
      <c r="S14" s="264"/>
      <c r="T14" s="266"/>
      <c r="U14" s="223"/>
      <c r="V14" s="171"/>
      <c r="W14" s="171"/>
      <c r="X14" s="232"/>
      <c r="Y14" s="231"/>
      <c r="Z14" s="171"/>
      <c r="AA14" s="171"/>
      <c r="AB14" s="232"/>
      <c r="AC14" s="223"/>
      <c r="AD14" s="171"/>
      <c r="AE14" s="171"/>
      <c r="AF14" s="49"/>
      <c r="AG14" s="49"/>
      <c r="AH14" s="171"/>
      <c r="AI14" s="171"/>
      <c r="AJ14" s="49"/>
      <c r="AK14" s="171"/>
      <c r="AL14" s="171"/>
      <c r="AM14" s="49"/>
      <c r="AN14" s="49"/>
      <c r="AO14" s="171"/>
      <c r="AP14" s="171"/>
      <c r="AQ14" s="49"/>
      <c r="AR14" s="49"/>
      <c r="AS14" s="171"/>
      <c r="AT14" s="171"/>
      <c r="AU14" s="49"/>
    </row>
    <row r="15" spans="1:47" ht="12.75">
      <c r="A15" s="27" t="s">
        <v>175</v>
      </c>
      <c r="B15" s="8"/>
      <c r="C15" s="36" t="s">
        <v>176</v>
      </c>
      <c r="D15" s="10"/>
      <c r="E15" s="29"/>
      <c r="F15" s="242">
        <f t="shared" si="0"/>
        <v>468</v>
      </c>
      <c r="G15" s="241">
        <f t="shared" si="1"/>
        <v>0</v>
      </c>
      <c r="H15" s="241">
        <f t="shared" si="2"/>
        <v>468</v>
      </c>
      <c r="I15" s="281">
        <f>2600*3</f>
        <v>7800</v>
      </c>
      <c r="J15" s="1"/>
      <c r="K15" s="1">
        <v>468</v>
      </c>
      <c r="L15" s="281" t="s">
        <v>270</v>
      </c>
      <c r="M15" s="282"/>
      <c r="N15" s="257"/>
      <c r="O15" s="257"/>
      <c r="P15" s="282"/>
      <c r="Q15" s="283"/>
      <c r="R15" s="264"/>
      <c r="S15" s="264"/>
      <c r="T15" s="268"/>
      <c r="U15" s="224"/>
      <c r="V15" s="171"/>
      <c r="W15" s="171"/>
      <c r="X15" s="234"/>
      <c r="Y15" s="233"/>
      <c r="Z15" s="171"/>
      <c r="AA15" s="171"/>
      <c r="AB15" s="234"/>
      <c r="AC15" s="224"/>
      <c r="AD15" s="171"/>
      <c r="AE15" s="171"/>
      <c r="AF15" s="176"/>
      <c r="AG15" s="176"/>
      <c r="AH15" s="171"/>
      <c r="AI15" s="171"/>
      <c r="AJ15" s="176"/>
      <c r="AK15" s="171"/>
      <c r="AL15" s="171"/>
      <c r="AM15" s="176"/>
      <c r="AN15" s="176"/>
      <c r="AO15" s="171"/>
      <c r="AP15" s="171"/>
      <c r="AQ15" s="176"/>
      <c r="AR15" s="176"/>
      <c r="AS15" s="171"/>
      <c r="AT15" s="171"/>
      <c r="AU15" s="176"/>
    </row>
    <row r="16" spans="1:47" ht="12.75">
      <c r="A16" s="101" t="s">
        <v>4</v>
      </c>
      <c r="B16" s="8"/>
      <c r="C16" s="36" t="s">
        <v>176</v>
      </c>
      <c r="D16" s="10"/>
      <c r="E16" s="29"/>
      <c r="F16" s="242">
        <f t="shared" si="0"/>
        <v>9800</v>
      </c>
      <c r="G16" s="241">
        <f t="shared" si="1"/>
        <v>0</v>
      </c>
      <c r="H16" s="241">
        <f t="shared" si="2"/>
        <v>9800</v>
      </c>
      <c r="I16" s="281">
        <f>1000*3</f>
        <v>3000</v>
      </c>
      <c r="J16" s="1"/>
      <c r="K16" s="1">
        <v>9800</v>
      </c>
      <c r="L16" s="281" t="s">
        <v>271</v>
      </c>
      <c r="M16" s="282"/>
      <c r="N16" s="257"/>
      <c r="O16" s="257"/>
      <c r="P16" s="282"/>
      <c r="Q16" s="283"/>
      <c r="R16" s="264"/>
      <c r="S16" s="264"/>
      <c r="T16" s="268"/>
      <c r="U16" s="224"/>
      <c r="V16" s="171"/>
      <c r="W16" s="171"/>
      <c r="X16" s="234"/>
      <c r="Y16" s="233"/>
      <c r="Z16" s="171"/>
      <c r="AA16" s="171"/>
      <c r="AB16" s="234"/>
      <c r="AC16" s="224"/>
      <c r="AD16" s="171"/>
      <c r="AE16" s="171"/>
      <c r="AF16" s="176"/>
      <c r="AG16" s="176"/>
      <c r="AH16" s="171"/>
      <c r="AI16" s="171"/>
      <c r="AJ16" s="176"/>
      <c r="AK16" s="171"/>
      <c r="AL16" s="171"/>
      <c r="AM16" s="176"/>
      <c r="AN16" s="176"/>
      <c r="AO16" s="171"/>
      <c r="AP16" s="171"/>
      <c r="AQ16" s="176"/>
      <c r="AR16" s="176"/>
      <c r="AS16" s="171"/>
      <c r="AT16" s="171"/>
      <c r="AU16" s="176"/>
    </row>
    <row r="17" spans="1:47" ht="12.75">
      <c r="A17" s="101" t="s">
        <v>177</v>
      </c>
      <c r="B17" s="8"/>
      <c r="C17" s="36" t="s">
        <v>176</v>
      </c>
      <c r="D17" s="10"/>
      <c r="E17" s="29"/>
      <c r="F17" s="242">
        <f t="shared" si="0"/>
        <v>500</v>
      </c>
      <c r="G17" s="241">
        <f t="shared" si="1"/>
        <v>0</v>
      </c>
      <c r="H17" s="241">
        <f t="shared" si="2"/>
        <v>500</v>
      </c>
      <c r="I17" s="281">
        <v>100</v>
      </c>
      <c r="J17" s="1"/>
      <c r="K17" s="1">
        <v>500</v>
      </c>
      <c r="L17" s="281" t="s">
        <v>272</v>
      </c>
      <c r="M17" s="282"/>
      <c r="N17" s="257"/>
      <c r="O17" s="257"/>
      <c r="P17" s="282"/>
      <c r="Q17" s="283"/>
      <c r="R17" s="264"/>
      <c r="S17" s="264"/>
      <c r="T17" s="268"/>
      <c r="U17" s="224"/>
      <c r="V17" s="171"/>
      <c r="W17" s="171"/>
      <c r="X17" s="234"/>
      <c r="Y17" s="233"/>
      <c r="Z17" s="171"/>
      <c r="AA17" s="171"/>
      <c r="AB17" s="234"/>
      <c r="AC17" s="224"/>
      <c r="AD17" s="171"/>
      <c r="AE17" s="171"/>
      <c r="AF17" s="176"/>
      <c r="AG17" s="176"/>
      <c r="AH17" s="171"/>
      <c r="AI17" s="171"/>
      <c r="AJ17" s="176"/>
      <c r="AK17" s="171"/>
      <c r="AL17" s="171"/>
      <c r="AM17" s="176"/>
      <c r="AN17" s="176"/>
      <c r="AO17" s="171"/>
      <c r="AP17" s="171"/>
      <c r="AQ17" s="176"/>
      <c r="AR17" s="176"/>
      <c r="AS17" s="171"/>
      <c r="AT17" s="171"/>
      <c r="AU17" s="176"/>
    </row>
    <row r="18" spans="1:47" ht="38.25">
      <c r="A18" s="54" t="s">
        <v>233</v>
      </c>
      <c r="B18" s="36"/>
      <c r="C18" s="36" t="s">
        <v>66</v>
      </c>
      <c r="D18" s="36"/>
      <c r="E18" s="36"/>
      <c r="F18" s="242">
        <f t="shared" si="0"/>
        <v>114400</v>
      </c>
      <c r="G18" s="241">
        <f t="shared" si="1"/>
        <v>0</v>
      </c>
      <c r="H18" s="241">
        <f t="shared" si="2"/>
        <v>114400</v>
      </c>
      <c r="I18" s="254" t="s">
        <v>273</v>
      </c>
      <c r="J18" s="1"/>
      <c r="K18" s="1">
        <v>114400</v>
      </c>
      <c r="L18" s="254" t="s">
        <v>274</v>
      </c>
      <c r="M18" s="261"/>
      <c r="N18" s="257"/>
      <c r="O18" s="257"/>
      <c r="P18" s="261"/>
      <c r="Q18" s="270"/>
      <c r="R18" s="264"/>
      <c r="S18" s="264"/>
      <c r="T18" s="266"/>
      <c r="U18" s="223"/>
      <c r="V18" s="171"/>
      <c r="W18" s="171"/>
      <c r="X18" s="232"/>
      <c r="Y18" s="231"/>
      <c r="Z18" s="171"/>
      <c r="AA18" s="171"/>
      <c r="AB18" s="232"/>
      <c r="AC18" s="223"/>
      <c r="AD18" s="171"/>
      <c r="AE18" s="171"/>
      <c r="AF18" s="49"/>
      <c r="AG18" s="49"/>
      <c r="AH18" s="171"/>
      <c r="AI18" s="171"/>
      <c r="AJ18" s="49"/>
      <c r="AK18" s="171"/>
      <c r="AL18" s="171"/>
      <c r="AM18" s="49"/>
      <c r="AN18" s="49"/>
      <c r="AO18" s="171"/>
      <c r="AP18" s="171"/>
      <c r="AQ18" s="49"/>
      <c r="AR18" s="49"/>
      <c r="AS18" s="171"/>
      <c r="AT18" s="171"/>
      <c r="AU18" s="49"/>
    </row>
    <row r="19" spans="1:47" ht="12.75">
      <c r="A19" s="101"/>
      <c r="B19" s="8"/>
      <c r="C19" s="36"/>
      <c r="D19" s="10"/>
      <c r="E19" s="29"/>
      <c r="F19" s="242">
        <f t="shared" si="0"/>
        <v>0</v>
      </c>
      <c r="G19" s="241">
        <f t="shared" si="1"/>
        <v>0</v>
      </c>
      <c r="H19" s="241">
        <f t="shared" si="2"/>
        <v>0</v>
      </c>
      <c r="I19" s="254"/>
      <c r="J19" s="1"/>
      <c r="K19" s="1"/>
      <c r="L19" s="254"/>
      <c r="M19" s="261"/>
      <c r="N19" s="257"/>
      <c r="O19" s="257"/>
      <c r="P19" s="261"/>
      <c r="Q19" s="270"/>
      <c r="R19" s="264"/>
      <c r="S19" s="264"/>
      <c r="T19" s="266"/>
      <c r="U19" s="223"/>
      <c r="V19" s="171"/>
      <c r="W19" s="171"/>
      <c r="X19" s="232"/>
      <c r="Y19" s="231"/>
      <c r="Z19" s="171"/>
      <c r="AA19" s="171"/>
      <c r="AB19" s="232"/>
      <c r="AC19" s="223"/>
      <c r="AD19" s="171"/>
      <c r="AE19" s="171"/>
      <c r="AF19" s="49"/>
      <c r="AG19" s="49"/>
      <c r="AH19" s="171"/>
      <c r="AI19" s="171"/>
      <c r="AJ19" s="49"/>
      <c r="AK19" s="171"/>
      <c r="AL19" s="171"/>
      <c r="AM19" s="49"/>
      <c r="AN19" s="49"/>
      <c r="AO19" s="171"/>
      <c r="AP19" s="171"/>
      <c r="AQ19" s="49"/>
      <c r="AR19" s="49"/>
      <c r="AS19" s="171"/>
      <c r="AT19" s="171"/>
      <c r="AU19" s="49"/>
    </row>
    <row r="20" spans="1:47" ht="13.5" thickBot="1">
      <c r="A20" s="296"/>
      <c r="B20" s="120"/>
      <c r="C20" s="297"/>
      <c r="D20" s="298"/>
      <c r="E20" s="123"/>
      <c r="F20" s="299">
        <f t="shared" si="0"/>
        <v>0</v>
      </c>
      <c r="G20" s="300">
        <f t="shared" si="1"/>
        <v>0</v>
      </c>
      <c r="H20" s="300">
        <f t="shared" si="2"/>
        <v>0</v>
      </c>
      <c r="I20" s="301"/>
      <c r="J20" s="302"/>
      <c r="K20" s="302"/>
      <c r="L20" s="301"/>
      <c r="M20" s="303"/>
      <c r="N20" s="304"/>
      <c r="O20" s="304"/>
      <c r="P20" s="303"/>
      <c r="Q20" s="305"/>
      <c r="R20" s="306"/>
      <c r="S20" s="306"/>
      <c r="T20" s="307"/>
      <c r="U20" s="308"/>
      <c r="V20" s="309"/>
      <c r="W20" s="309"/>
      <c r="X20" s="310"/>
      <c r="Y20" s="311"/>
      <c r="Z20" s="309"/>
      <c r="AA20" s="309"/>
      <c r="AB20" s="310"/>
      <c r="AC20" s="308"/>
      <c r="AD20" s="309"/>
      <c r="AE20" s="309"/>
      <c r="AF20" s="312"/>
      <c r="AG20" s="312"/>
      <c r="AH20" s="309"/>
      <c r="AI20" s="309"/>
      <c r="AJ20" s="312"/>
      <c r="AK20" s="309"/>
      <c r="AL20" s="309"/>
      <c r="AM20" s="312"/>
      <c r="AN20" s="312"/>
      <c r="AO20" s="309"/>
      <c r="AP20" s="309"/>
      <c r="AQ20" s="312"/>
      <c r="AR20" s="312"/>
      <c r="AS20" s="309"/>
      <c r="AT20" s="309"/>
      <c r="AU20" s="312"/>
    </row>
    <row r="21" spans="1:47" ht="13.5" thickBot="1">
      <c r="A21" s="323" t="s">
        <v>348</v>
      </c>
      <c r="B21" s="324"/>
      <c r="C21" s="21"/>
      <c r="D21" s="22"/>
      <c r="E21" s="325"/>
      <c r="F21" s="326">
        <f t="shared" si="0"/>
        <v>495000</v>
      </c>
      <c r="G21" s="326">
        <f t="shared" si="1"/>
        <v>0</v>
      </c>
      <c r="H21" s="326">
        <f t="shared" si="2"/>
        <v>495000</v>
      </c>
      <c r="I21" s="327"/>
      <c r="J21" s="327">
        <f>SUM(J24:J40)</f>
        <v>0</v>
      </c>
      <c r="K21" s="327">
        <f>SUM(K24:K40)</f>
        <v>0</v>
      </c>
      <c r="L21" s="327"/>
      <c r="M21" s="328"/>
      <c r="N21" s="328">
        <f>SUM(N24:N40)</f>
        <v>0</v>
      </c>
      <c r="O21" s="328">
        <f>SUM(O24:O40)</f>
        <v>0</v>
      </c>
      <c r="P21" s="328"/>
      <c r="Q21" s="329"/>
      <c r="R21" s="329">
        <f>SUM(R24:R40)</f>
        <v>0</v>
      </c>
      <c r="S21" s="329">
        <f>SUM(S24:S40)</f>
        <v>495000</v>
      </c>
      <c r="T21" s="236"/>
      <c r="U21" s="225"/>
      <c r="V21" s="32">
        <f>SUM(V24:V40)</f>
        <v>0</v>
      </c>
      <c r="W21" s="32">
        <f>SUM(W24:W40)</f>
        <v>0</v>
      </c>
      <c r="X21" s="236"/>
      <c r="Y21" s="235"/>
      <c r="Z21" s="32">
        <f>SUM(Z24:Z40)</f>
        <v>0</v>
      </c>
      <c r="AA21" s="32">
        <f>SUM(AA22:AA40)</f>
        <v>50000</v>
      </c>
      <c r="AB21" s="236"/>
      <c r="AC21" s="225"/>
      <c r="AD21" s="32">
        <f>SUM(AD24:AD40)</f>
        <v>0</v>
      </c>
      <c r="AE21" s="32">
        <f>SUM(AE24:AE40)</f>
        <v>0</v>
      </c>
      <c r="AF21" s="32"/>
      <c r="AG21" s="32"/>
      <c r="AH21" s="32">
        <f>SUM(AH24:AH40)</f>
        <v>0</v>
      </c>
      <c r="AI21" s="32">
        <f>SUM(AI24:AI40)</f>
        <v>0</v>
      </c>
      <c r="AJ21" s="32"/>
      <c r="AK21" s="32">
        <f>SUM(AK24:AK40)</f>
        <v>0</v>
      </c>
      <c r="AL21" s="32">
        <f>SUM(AL24:AL40)</f>
        <v>0</v>
      </c>
      <c r="AM21" s="32"/>
      <c r="AN21" s="32"/>
      <c r="AO21" s="32">
        <f>SUM(AO24:AO40)</f>
        <v>0</v>
      </c>
      <c r="AP21" s="32">
        <f>SUM(AP24:AP40)</f>
        <v>0</v>
      </c>
      <c r="AQ21" s="32"/>
      <c r="AR21" s="32"/>
      <c r="AS21" s="32">
        <f>SUM(AS24:AS40)</f>
        <v>0</v>
      </c>
      <c r="AT21" s="32">
        <f>SUM(AT24:AT40)</f>
        <v>0</v>
      </c>
      <c r="AU21" s="236"/>
    </row>
    <row r="22" spans="1:47" ht="12.75">
      <c r="A22" s="313" t="s">
        <v>2</v>
      </c>
      <c r="B22" s="19"/>
      <c r="C22" s="19" t="s">
        <v>9</v>
      </c>
      <c r="D22" s="314"/>
      <c r="E22" s="28"/>
      <c r="F22" s="315">
        <f t="shared" si="0"/>
        <v>0</v>
      </c>
      <c r="G22" s="174">
        <f t="shared" si="1"/>
        <v>0</v>
      </c>
      <c r="H22" s="174">
        <f t="shared" si="2"/>
        <v>0</v>
      </c>
      <c r="I22" s="316"/>
      <c r="J22" s="317"/>
      <c r="K22" s="317"/>
      <c r="L22" s="316"/>
      <c r="M22" s="318"/>
      <c r="N22" s="319"/>
      <c r="O22" s="319"/>
      <c r="P22" s="318"/>
      <c r="Q22" s="320"/>
      <c r="R22" s="321"/>
      <c r="S22" s="321"/>
      <c r="T22" s="322"/>
      <c r="U22" s="222"/>
      <c r="V22" s="173"/>
      <c r="W22" s="173"/>
      <c r="X22" s="230"/>
      <c r="Y22" s="172"/>
      <c r="Z22" s="173"/>
      <c r="AA22" s="295"/>
      <c r="AB22" s="230"/>
      <c r="AC22" s="222"/>
      <c r="AD22" s="173"/>
      <c r="AE22" s="173"/>
      <c r="AF22" s="172"/>
      <c r="AG22" s="172"/>
      <c r="AH22" s="173"/>
      <c r="AI22" s="173"/>
      <c r="AJ22" s="172"/>
      <c r="AK22" s="173"/>
      <c r="AL22" s="173"/>
      <c r="AM22" s="172"/>
      <c r="AN22" s="172"/>
      <c r="AO22" s="173"/>
      <c r="AP22" s="173"/>
      <c r="AQ22" s="172"/>
      <c r="AR22" s="172"/>
      <c r="AS22" s="173"/>
      <c r="AT22" s="173"/>
      <c r="AU22" s="172"/>
    </row>
    <row r="23" spans="1:47" ht="15" customHeight="1">
      <c r="A23" s="27" t="s">
        <v>385</v>
      </c>
      <c r="B23" s="8"/>
      <c r="C23" s="8"/>
      <c r="D23" s="10"/>
      <c r="E23" s="29"/>
      <c r="F23" s="242">
        <v>0</v>
      </c>
      <c r="G23" s="241">
        <f>J23+N23+R23</f>
        <v>0</v>
      </c>
      <c r="H23" s="241">
        <f>K23+O23+S23</f>
        <v>0</v>
      </c>
      <c r="I23" s="254"/>
      <c r="J23" s="1"/>
      <c r="K23" s="1"/>
      <c r="L23" s="254"/>
      <c r="M23" s="261"/>
      <c r="N23" s="257"/>
      <c r="O23" s="257"/>
      <c r="P23" s="261"/>
      <c r="Q23" s="270"/>
      <c r="R23" s="264"/>
      <c r="S23" s="264"/>
      <c r="T23" s="266"/>
      <c r="U23" s="223"/>
      <c r="V23" s="171"/>
      <c r="W23" s="171"/>
      <c r="X23" s="232"/>
      <c r="Y23" s="49" t="s">
        <v>378</v>
      </c>
      <c r="Z23" s="171"/>
      <c r="AA23" s="35">
        <v>50000</v>
      </c>
      <c r="AB23" s="232"/>
      <c r="AC23" s="223"/>
      <c r="AD23" s="171"/>
      <c r="AE23" s="171"/>
      <c r="AF23" s="49"/>
      <c r="AG23" s="49"/>
      <c r="AH23" s="171"/>
      <c r="AI23" s="171"/>
      <c r="AJ23" s="49"/>
      <c r="AK23" s="171"/>
      <c r="AL23" s="171"/>
      <c r="AM23" s="49"/>
      <c r="AN23" s="49"/>
      <c r="AO23" s="171"/>
      <c r="AP23" s="171"/>
      <c r="AQ23" s="49"/>
      <c r="AR23" s="49"/>
      <c r="AS23" s="171"/>
      <c r="AT23" s="171"/>
      <c r="AU23" s="49"/>
    </row>
    <row r="24" spans="1:47" ht="12.75">
      <c r="A24" s="26" t="s">
        <v>107</v>
      </c>
      <c r="B24" s="8"/>
      <c r="C24" s="8" t="s">
        <v>66</v>
      </c>
      <c r="D24" s="37"/>
      <c r="E24" s="38"/>
      <c r="F24" s="242">
        <f t="shared" si="0"/>
        <v>0</v>
      </c>
      <c r="G24" s="241">
        <f t="shared" si="1"/>
        <v>0</v>
      </c>
      <c r="H24" s="241">
        <f t="shared" si="2"/>
        <v>0</v>
      </c>
      <c r="I24" s="254"/>
      <c r="J24" s="1"/>
      <c r="K24" s="1"/>
      <c r="L24" s="254"/>
      <c r="M24" s="261"/>
      <c r="N24" s="257"/>
      <c r="O24" s="257"/>
      <c r="P24" s="261"/>
      <c r="Q24" s="270"/>
      <c r="R24" s="264"/>
      <c r="S24" s="264"/>
      <c r="T24" s="266"/>
      <c r="U24" s="223"/>
      <c r="V24" s="171"/>
      <c r="W24" s="171"/>
      <c r="X24" s="232"/>
      <c r="Y24" s="49"/>
      <c r="Z24" s="171"/>
      <c r="AA24" s="171"/>
      <c r="AB24" s="232"/>
      <c r="AC24" s="223"/>
      <c r="AD24" s="171"/>
      <c r="AE24" s="171"/>
      <c r="AF24" s="49"/>
      <c r="AG24" s="49"/>
      <c r="AH24" s="171"/>
      <c r="AI24" s="171"/>
      <c r="AJ24" s="49"/>
      <c r="AK24" s="171"/>
      <c r="AL24" s="171"/>
      <c r="AM24" s="49"/>
      <c r="AN24" s="49"/>
      <c r="AO24" s="171"/>
      <c r="AP24" s="171"/>
      <c r="AQ24" s="49"/>
      <c r="AR24" s="49"/>
      <c r="AS24" s="171"/>
      <c r="AT24" s="171"/>
      <c r="AU24" s="49"/>
    </row>
    <row r="25" spans="1:47" ht="12.75">
      <c r="A25" s="27" t="s">
        <v>113</v>
      </c>
      <c r="B25" s="8"/>
      <c r="C25" s="8" t="s">
        <v>66</v>
      </c>
      <c r="D25" s="37"/>
      <c r="E25" s="38"/>
      <c r="F25" s="242">
        <f t="shared" si="0"/>
        <v>0</v>
      </c>
      <c r="G25" s="241">
        <f t="shared" si="1"/>
        <v>0</v>
      </c>
      <c r="H25" s="241">
        <f t="shared" si="2"/>
        <v>0</v>
      </c>
      <c r="I25" s="254"/>
      <c r="J25" s="1"/>
      <c r="K25" s="1"/>
      <c r="L25" s="254"/>
      <c r="M25" s="261"/>
      <c r="N25" s="257"/>
      <c r="O25" s="257"/>
      <c r="P25" s="261"/>
      <c r="Q25" s="270"/>
      <c r="R25" s="264"/>
      <c r="S25" s="264"/>
      <c r="T25" s="266"/>
      <c r="U25" s="223"/>
      <c r="V25" s="171"/>
      <c r="W25" s="171"/>
      <c r="X25" s="232"/>
      <c r="Y25" s="49"/>
      <c r="Z25" s="171"/>
      <c r="AA25" s="171"/>
      <c r="AB25" s="232"/>
      <c r="AC25" s="223"/>
      <c r="AD25" s="171"/>
      <c r="AE25" s="171"/>
      <c r="AF25" s="49"/>
      <c r="AG25" s="49"/>
      <c r="AH25" s="171"/>
      <c r="AI25" s="171"/>
      <c r="AJ25" s="49"/>
      <c r="AK25" s="171"/>
      <c r="AL25" s="171"/>
      <c r="AM25" s="49"/>
      <c r="AN25" s="49"/>
      <c r="AO25" s="171"/>
      <c r="AP25" s="171"/>
      <c r="AQ25" s="49"/>
      <c r="AR25" s="49"/>
      <c r="AS25" s="171"/>
      <c r="AT25" s="171"/>
      <c r="AU25" s="49"/>
    </row>
    <row r="26" spans="1:47" ht="25.5">
      <c r="A26" s="27" t="s">
        <v>117</v>
      </c>
      <c r="B26" s="8"/>
      <c r="C26" s="8" t="s">
        <v>66</v>
      </c>
      <c r="D26" s="37"/>
      <c r="E26" s="38"/>
      <c r="F26" s="242">
        <f t="shared" si="0"/>
        <v>0</v>
      </c>
      <c r="G26" s="241">
        <f t="shared" si="1"/>
        <v>0</v>
      </c>
      <c r="H26" s="241">
        <f t="shared" si="2"/>
        <v>0</v>
      </c>
      <c r="I26" s="254"/>
      <c r="J26" s="1"/>
      <c r="K26" s="1"/>
      <c r="L26" s="254"/>
      <c r="M26" s="261"/>
      <c r="N26" s="257"/>
      <c r="O26" s="257"/>
      <c r="P26" s="261"/>
      <c r="Q26" s="270"/>
      <c r="R26" s="264"/>
      <c r="S26" s="264"/>
      <c r="T26" s="266"/>
      <c r="U26" s="223"/>
      <c r="V26" s="171"/>
      <c r="W26" s="171"/>
      <c r="X26" s="232"/>
      <c r="Y26" s="49" t="s">
        <v>379</v>
      </c>
      <c r="Z26" s="171"/>
      <c r="AA26" s="171"/>
      <c r="AB26" s="232"/>
      <c r="AC26" s="223"/>
      <c r="AD26" s="171"/>
      <c r="AE26" s="171"/>
      <c r="AF26" s="49"/>
      <c r="AG26" s="49"/>
      <c r="AH26" s="171"/>
      <c r="AI26" s="171"/>
      <c r="AJ26" s="49"/>
      <c r="AK26" s="171"/>
      <c r="AL26" s="171"/>
      <c r="AM26" s="49"/>
      <c r="AN26" s="49"/>
      <c r="AO26" s="171"/>
      <c r="AP26" s="171"/>
      <c r="AQ26" s="49"/>
      <c r="AR26" s="49"/>
      <c r="AS26" s="171"/>
      <c r="AT26" s="171"/>
      <c r="AU26" s="49"/>
    </row>
    <row r="27" spans="1:47" ht="25.5">
      <c r="A27" s="27" t="s">
        <v>180</v>
      </c>
      <c r="B27" s="8"/>
      <c r="C27" s="8" t="s">
        <v>66</v>
      </c>
      <c r="D27" s="37"/>
      <c r="E27" s="38"/>
      <c r="F27" s="242">
        <f t="shared" si="0"/>
        <v>0</v>
      </c>
      <c r="G27" s="241">
        <f t="shared" si="1"/>
        <v>0</v>
      </c>
      <c r="H27" s="241">
        <f t="shared" si="2"/>
        <v>0</v>
      </c>
      <c r="I27" s="254"/>
      <c r="J27" s="1"/>
      <c r="K27" s="1"/>
      <c r="L27" s="254"/>
      <c r="M27" s="261"/>
      <c r="N27" s="257"/>
      <c r="O27" s="257"/>
      <c r="P27" s="261"/>
      <c r="Q27" s="270"/>
      <c r="R27" s="264"/>
      <c r="S27" s="264"/>
      <c r="T27" s="266"/>
      <c r="U27" s="223"/>
      <c r="V27" s="171"/>
      <c r="W27" s="171"/>
      <c r="X27" s="232"/>
      <c r="Y27" s="231"/>
      <c r="Z27" s="171"/>
      <c r="AA27" s="171"/>
      <c r="AB27" s="232"/>
      <c r="AC27" s="223"/>
      <c r="AD27" s="171"/>
      <c r="AE27" s="171"/>
      <c r="AF27" s="49"/>
      <c r="AG27" s="49"/>
      <c r="AH27" s="171"/>
      <c r="AI27" s="171"/>
      <c r="AJ27" s="49"/>
      <c r="AK27" s="171"/>
      <c r="AL27" s="171"/>
      <c r="AM27" s="49"/>
      <c r="AN27" s="49"/>
      <c r="AO27" s="171"/>
      <c r="AP27" s="171"/>
      <c r="AQ27" s="49"/>
      <c r="AR27" s="49"/>
      <c r="AS27" s="171"/>
      <c r="AT27" s="171"/>
      <c r="AU27" s="49"/>
    </row>
    <row r="28" spans="1:47" ht="25.5">
      <c r="A28" s="27" t="s">
        <v>179</v>
      </c>
      <c r="B28" s="8"/>
      <c r="C28" s="8" t="s">
        <v>8</v>
      </c>
      <c r="D28" s="37"/>
      <c r="E28" s="38"/>
      <c r="F28" s="242">
        <f t="shared" si="0"/>
        <v>0</v>
      </c>
      <c r="G28" s="241">
        <f t="shared" si="1"/>
        <v>0</v>
      </c>
      <c r="H28" s="241">
        <f t="shared" si="2"/>
        <v>0</v>
      </c>
      <c r="I28" s="254"/>
      <c r="J28" s="1"/>
      <c r="K28" s="1"/>
      <c r="L28" s="254"/>
      <c r="M28" s="261"/>
      <c r="N28" s="257"/>
      <c r="O28" s="257"/>
      <c r="P28" s="261"/>
      <c r="Q28" s="270"/>
      <c r="R28" s="264"/>
      <c r="S28" s="264"/>
      <c r="T28" s="266"/>
      <c r="U28" s="223"/>
      <c r="V28" s="171"/>
      <c r="W28" s="171"/>
      <c r="X28" s="232"/>
      <c r="Y28" s="231"/>
      <c r="Z28" s="171"/>
      <c r="AA28" s="171"/>
      <c r="AB28" s="232"/>
      <c r="AC28" s="223"/>
      <c r="AD28" s="171"/>
      <c r="AE28" s="171"/>
      <c r="AF28" s="49"/>
      <c r="AG28" s="49"/>
      <c r="AH28" s="171"/>
      <c r="AI28" s="171"/>
      <c r="AJ28" s="49"/>
      <c r="AK28" s="171"/>
      <c r="AL28" s="171"/>
      <c r="AM28" s="49"/>
      <c r="AN28" s="49"/>
      <c r="AO28" s="171"/>
      <c r="AP28" s="171"/>
      <c r="AQ28" s="49"/>
      <c r="AR28" s="49"/>
      <c r="AS28" s="171"/>
      <c r="AT28" s="171"/>
      <c r="AU28" s="49"/>
    </row>
    <row r="29" spans="1:47" ht="12.75">
      <c r="A29" s="27" t="s">
        <v>181</v>
      </c>
      <c r="B29" s="8"/>
      <c r="C29" s="8" t="s">
        <v>65</v>
      </c>
      <c r="D29" s="37"/>
      <c r="E29" s="38"/>
      <c r="F29" s="242">
        <f t="shared" si="0"/>
        <v>0</v>
      </c>
      <c r="G29" s="241">
        <f t="shared" si="1"/>
        <v>0</v>
      </c>
      <c r="H29" s="241">
        <f t="shared" si="2"/>
        <v>0</v>
      </c>
      <c r="I29" s="254"/>
      <c r="J29" s="1"/>
      <c r="K29" s="1"/>
      <c r="L29" s="254"/>
      <c r="M29" s="261"/>
      <c r="N29" s="257"/>
      <c r="O29" s="257"/>
      <c r="P29" s="261"/>
      <c r="Q29" s="270"/>
      <c r="R29" s="264"/>
      <c r="S29" s="264"/>
      <c r="T29" s="266"/>
      <c r="U29" s="223"/>
      <c r="V29" s="171"/>
      <c r="W29" s="171"/>
      <c r="X29" s="232"/>
      <c r="Y29" s="231"/>
      <c r="Z29" s="171"/>
      <c r="AA29" s="171"/>
      <c r="AB29" s="232"/>
      <c r="AC29" s="223"/>
      <c r="AD29" s="171"/>
      <c r="AE29" s="171"/>
      <c r="AF29" s="49"/>
      <c r="AG29" s="49"/>
      <c r="AH29" s="171"/>
      <c r="AI29" s="171"/>
      <c r="AJ29" s="49"/>
      <c r="AK29" s="171"/>
      <c r="AL29" s="171"/>
      <c r="AM29" s="49"/>
      <c r="AN29" s="49"/>
      <c r="AO29" s="171"/>
      <c r="AP29" s="171"/>
      <c r="AQ29" s="49"/>
      <c r="AR29" s="49"/>
      <c r="AS29" s="171"/>
      <c r="AT29" s="171"/>
      <c r="AU29" s="49"/>
    </row>
    <row r="30" spans="1:47" ht="12.75">
      <c r="A30" s="27" t="s">
        <v>108</v>
      </c>
      <c r="B30" s="8"/>
      <c r="C30" s="8" t="s">
        <v>67</v>
      </c>
      <c r="D30" s="37"/>
      <c r="E30" s="38"/>
      <c r="F30" s="242">
        <f t="shared" si="0"/>
        <v>0</v>
      </c>
      <c r="G30" s="241">
        <f t="shared" si="1"/>
        <v>0</v>
      </c>
      <c r="H30" s="241">
        <f t="shared" si="2"/>
        <v>0</v>
      </c>
      <c r="I30" s="254"/>
      <c r="J30" s="1"/>
      <c r="K30" s="1"/>
      <c r="L30" s="254"/>
      <c r="M30" s="261"/>
      <c r="N30" s="257"/>
      <c r="O30" s="257"/>
      <c r="P30" s="261"/>
      <c r="Q30" s="270"/>
      <c r="R30" s="264"/>
      <c r="S30" s="264"/>
      <c r="T30" s="266"/>
      <c r="U30" s="223"/>
      <c r="V30" s="171"/>
      <c r="W30" s="171"/>
      <c r="X30" s="232"/>
      <c r="Y30" s="231"/>
      <c r="Z30" s="171"/>
      <c r="AA30" s="171"/>
      <c r="AB30" s="232"/>
      <c r="AC30" s="223"/>
      <c r="AD30" s="171"/>
      <c r="AE30" s="171"/>
      <c r="AF30" s="49"/>
      <c r="AG30" s="49"/>
      <c r="AH30" s="171"/>
      <c r="AI30" s="171"/>
      <c r="AJ30" s="49"/>
      <c r="AK30" s="171"/>
      <c r="AL30" s="171"/>
      <c r="AM30" s="49"/>
      <c r="AN30" s="49"/>
      <c r="AO30" s="171"/>
      <c r="AP30" s="171"/>
      <c r="AQ30" s="49"/>
      <c r="AR30" s="49"/>
      <c r="AS30" s="171"/>
      <c r="AT30" s="171"/>
      <c r="AU30" s="49"/>
    </row>
    <row r="31" spans="1:47" ht="12.75">
      <c r="A31" s="284" t="s">
        <v>114</v>
      </c>
      <c r="B31" s="8"/>
      <c r="C31" s="25" t="s">
        <v>66</v>
      </c>
      <c r="D31" s="37"/>
      <c r="E31" s="38"/>
      <c r="F31" s="242">
        <f t="shared" si="0"/>
        <v>0</v>
      </c>
      <c r="G31" s="241">
        <f t="shared" si="1"/>
        <v>0</v>
      </c>
      <c r="H31" s="241">
        <f t="shared" si="2"/>
        <v>0</v>
      </c>
      <c r="I31" s="254"/>
      <c r="J31" s="1"/>
      <c r="K31" s="1"/>
      <c r="L31" s="254"/>
      <c r="M31" s="261"/>
      <c r="N31" s="257"/>
      <c r="O31" s="257"/>
      <c r="P31" s="261"/>
      <c r="Q31" s="270"/>
      <c r="R31" s="264"/>
      <c r="S31" s="264"/>
      <c r="T31" s="266"/>
      <c r="U31" s="223"/>
      <c r="V31" s="171"/>
      <c r="W31" s="171"/>
      <c r="X31" s="232"/>
      <c r="Y31" s="231"/>
      <c r="Z31" s="171"/>
      <c r="AA31" s="171"/>
      <c r="AB31" s="232"/>
      <c r="AC31" s="223"/>
      <c r="AD31" s="171"/>
      <c r="AE31" s="171"/>
      <c r="AF31" s="49"/>
      <c r="AG31" s="49"/>
      <c r="AH31" s="171"/>
      <c r="AI31" s="171"/>
      <c r="AJ31" s="49"/>
      <c r="AK31" s="171"/>
      <c r="AL31" s="171"/>
      <c r="AM31" s="49"/>
      <c r="AN31" s="49"/>
      <c r="AO31" s="171"/>
      <c r="AP31" s="171"/>
      <c r="AQ31" s="49"/>
      <c r="AR31" s="49"/>
      <c r="AS31" s="171"/>
      <c r="AT31" s="171"/>
      <c r="AU31" s="49"/>
    </row>
    <row r="32" spans="1:47" ht="12.75">
      <c r="A32" s="284" t="s">
        <v>182</v>
      </c>
      <c r="B32" s="8"/>
      <c r="C32" s="25" t="s">
        <v>66</v>
      </c>
      <c r="D32" s="37"/>
      <c r="E32" s="38"/>
      <c r="F32" s="242">
        <f t="shared" si="0"/>
        <v>0</v>
      </c>
      <c r="G32" s="241">
        <f t="shared" si="1"/>
        <v>0</v>
      </c>
      <c r="H32" s="241">
        <f t="shared" si="2"/>
        <v>0</v>
      </c>
      <c r="I32" s="254"/>
      <c r="J32" s="1"/>
      <c r="K32" s="1"/>
      <c r="L32" s="254"/>
      <c r="M32" s="261"/>
      <c r="N32" s="257"/>
      <c r="O32" s="257"/>
      <c r="P32" s="261"/>
      <c r="Q32" s="270"/>
      <c r="R32" s="264"/>
      <c r="S32" s="264"/>
      <c r="T32" s="266"/>
      <c r="U32" s="223"/>
      <c r="V32" s="171"/>
      <c r="W32" s="171"/>
      <c r="X32" s="232"/>
      <c r="Y32" s="231"/>
      <c r="Z32" s="171"/>
      <c r="AA32" s="171"/>
      <c r="AB32" s="232"/>
      <c r="AC32" s="223"/>
      <c r="AD32" s="171"/>
      <c r="AE32" s="171"/>
      <c r="AF32" s="49"/>
      <c r="AG32" s="49"/>
      <c r="AH32" s="171"/>
      <c r="AI32" s="171"/>
      <c r="AJ32" s="49"/>
      <c r="AK32" s="171"/>
      <c r="AL32" s="171"/>
      <c r="AM32" s="49"/>
      <c r="AN32" s="49"/>
      <c r="AO32" s="171"/>
      <c r="AP32" s="171"/>
      <c r="AQ32" s="49"/>
      <c r="AR32" s="49"/>
      <c r="AS32" s="171"/>
      <c r="AT32" s="171"/>
      <c r="AU32" s="49"/>
    </row>
    <row r="33" spans="1:47" ht="12.75">
      <c r="A33" s="284" t="s">
        <v>43</v>
      </c>
      <c r="B33" s="8"/>
      <c r="C33" s="25" t="s">
        <v>65</v>
      </c>
      <c r="D33" s="37"/>
      <c r="E33" s="38"/>
      <c r="F33" s="242">
        <f t="shared" si="0"/>
        <v>0</v>
      </c>
      <c r="G33" s="241">
        <f t="shared" si="1"/>
        <v>0</v>
      </c>
      <c r="H33" s="241">
        <f t="shared" si="2"/>
        <v>0</v>
      </c>
      <c r="I33" s="254"/>
      <c r="J33" s="1"/>
      <c r="K33" s="1"/>
      <c r="L33" s="254"/>
      <c r="M33" s="261"/>
      <c r="N33" s="257"/>
      <c r="O33" s="257"/>
      <c r="P33" s="261"/>
      <c r="Q33" s="270"/>
      <c r="R33" s="264"/>
      <c r="S33" s="264"/>
      <c r="T33" s="266"/>
      <c r="U33" s="223"/>
      <c r="V33" s="171"/>
      <c r="W33" s="171"/>
      <c r="X33" s="232"/>
      <c r="Y33" s="231"/>
      <c r="Z33" s="171"/>
      <c r="AA33" s="171"/>
      <c r="AB33" s="232"/>
      <c r="AC33" s="223"/>
      <c r="AD33" s="171"/>
      <c r="AE33" s="171"/>
      <c r="AF33" s="49"/>
      <c r="AG33" s="49"/>
      <c r="AH33" s="171"/>
      <c r="AI33" s="171"/>
      <c r="AJ33" s="49"/>
      <c r="AK33" s="171"/>
      <c r="AL33" s="171"/>
      <c r="AM33" s="49"/>
      <c r="AN33" s="49"/>
      <c r="AO33" s="171"/>
      <c r="AP33" s="171"/>
      <c r="AQ33" s="49"/>
      <c r="AR33" s="49"/>
      <c r="AS33" s="171"/>
      <c r="AT33" s="171"/>
      <c r="AU33" s="49"/>
    </row>
    <row r="34" spans="1:47" ht="12.75">
      <c r="A34" s="284" t="s">
        <v>115</v>
      </c>
      <c r="B34" s="8"/>
      <c r="C34" s="25" t="s">
        <v>178</v>
      </c>
      <c r="D34" s="37"/>
      <c r="E34" s="38"/>
      <c r="F34" s="242">
        <f t="shared" si="0"/>
        <v>0</v>
      </c>
      <c r="G34" s="241">
        <f t="shared" si="1"/>
        <v>0</v>
      </c>
      <c r="H34" s="241">
        <f t="shared" si="2"/>
        <v>0</v>
      </c>
      <c r="I34" s="254"/>
      <c r="J34" s="1"/>
      <c r="K34" s="1"/>
      <c r="L34" s="254"/>
      <c r="M34" s="261"/>
      <c r="N34" s="257"/>
      <c r="O34" s="257"/>
      <c r="P34" s="261"/>
      <c r="Q34" s="270"/>
      <c r="R34" s="264"/>
      <c r="S34" s="264"/>
      <c r="T34" s="266"/>
      <c r="U34" s="223"/>
      <c r="V34" s="171"/>
      <c r="W34" s="171"/>
      <c r="X34" s="232"/>
      <c r="Y34" s="231"/>
      <c r="Z34" s="171"/>
      <c r="AA34" s="171"/>
      <c r="AB34" s="232"/>
      <c r="AC34" s="223"/>
      <c r="AD34" s="171"/>
      <c r="AE34" s="171"/>
      <c r="AF34" s="49"/>
      <c r="AG34" s="49"/>
      <c r="AH34" s="171"/>
      <c r="AI34" s="171"/>
      <c r="AJ34" s="49"/>
      <c r="AK34" s="171"/>
      <c r="AL34" s="171"/>
      <c r="AM34" s="49"/>
      <c r="AN34" s="49"/>
      <c r="AO34" s="171"/>
      <c r="AP34" s="171"/>
      <c r="AQ34" s="49"/>
      <c r="AR34" s="49"/>
      <c r="AS34" s="171"/>
      <c r="AT34" s="171"/>
      <c r="AU34" s="49"/>
    </row>
    <row r="35" spans="1:47" ht="12.75">
      <c r="A35" s="284" t="s">
        <v>116</v>
      </c>
      <c r="B35" s="8"/>
      <c r="C35" s="25" t="s">
        <v>178</v>
      </c>
      <c r="D35" s="37"/>
      <c r="E35" s="38"/>
      <c r="F35" s="242">
        <f t="shared" si="0"/>
        <v>0</v>
      </c>
      <c r="G35" s="241">
        <f t="shared" si="1"/>
        <v>0</v>
      </c>
      <c r="H35" s="241">
        <f t="shared" si="2"/>
        <v>0</v>
      </c>
      <c r="I35" s="254"/>
      <c r="J35" s="1"/>
      <c r="K35" s="1"/>
      <c r="L35" s="254"/>
      <c r="M35" s="261"/>
      <c r="N35" s="257"/>
      <c r="O35" s="257"/>
      <c r="P35" s="261"/>
      <c r="Q35" s="270"/>
      <c r="R35" s="264"/>
      <c r="S35" s="264"/>
      <c r="T35" s="266"/>
      <c r="U35" s="223"/>
      <c r="V35" s="171"/>
      <c r="W35" s="171"/>
      <c r="X35" s="232"/>
      <c r="Y35" s="231"/>
      <c r="Z35" s="171"/>
      <c r="AA35" s="171"/>
      <c r="AB35" s="232"/>
      <c r="AC35" s="223"/>
      <c r="AD35" s="171"/>
      <c r="AE35" s="171"/>
      <c r="AF35" s="49"/>
      <c r="AG35" s="49"/>
      <c r="AH35" s="171"/>
      <c r="AI35" s="171"/>
      <c r="AJ35" s="49"/>
      <c r="AK35" s="171"/>
      <c r="AL35" s="171"/>
      <c r="AM35" s="49"/>
      <c r="AN35" s="49"/>
      <c r="AO35" s="171"/>
      <c r="AP35" s="171"/>
      <c r="AQ35" s="49"/>
      <c r="AR35" s="49"/>
      <c r="AS35" s="171"/>
      <c r="AT35" s="171"/>
      <c r="AU35" s="49"/>
    </row>
    <row r="36" spans="1:47" ht="15" customHeight="1">
      <c r="A36" s="27" t="s">
        <v>118</v>
      </c>
      <c r="B36" s="8"/>
      <c r="C36" s="25" t="s">
        <v>119</v>
      </c>
      <c r="D36" s="37"/>
      <c r="E36" s="38"/>
      <c r="F36" s="242">
        <f t="shared" si="0"/>
        <v>495000</v>
      </c>
      <c r="G36" s="241">
        <f t="shared" si="1"/>
        <v>0</v>
      </c>
      <c r="H36" s="241">
        <f t="shared" si="2"/>
        <v>495000</v>
      </c>
      <c r="I36" s="254"/>
      <c r="J36" s="1"/>
      <c r="K36" s="1"/>
      <c r="L36" s="254"/>
      <c r="M36" s="261"/>
      <c r="N36" s="257"/>
      <c r="O36" s="257"/>
      <c r="P36" s="261"/>
      <c r="Q36" s="270" t="s">
        <v>346</v>
      </c>
      <c r="R36" s="264"/>
      <c r="S36" s="269">
        <v>495000</v>
      </c>
      <c r="T36" s="266" t="s">
        <v>343</v>
      </c>
      <c r="U36" s="223"/>
      <c r="V36" s="171"/>
      <c r="W36" s="171"/>
      <c r="X36" s="232"/>
      <c r="Y36" s="231"/>
      <c r="Z36" s="171"/>
      <c r="AA36" s="171"/>
      <c r="AB36" s="232"/>
      <c r="AC36" s="223"/>
      <c r="AD36" s="171"/>
      <c r="AE36" s="171"/>
      <c r="AF36" s="49"/>
      <c r="AG36" s="49"/>
      <c r="AH36" s="171"/>
      <c r="AI36" s="171"/>
      <c r="AJ36" s="49"/>
      <c r="AK36" s="171"/>
      <c r="AL36" s="171"/>
      <c r="AM36" s="49"/>
      <c r="AN36" s="49"/>
      <c r="AO36" s="171"/>
      <c r="AP36" s="171"/>
      <c r="AQ36" s="49"/>
      <c r="AR36" s="49"/>
      <c r="AS36" s="171"/>
      <c r="AT36" s="171"/>
      <c r="AU36" s="49"/>
    </row>
    <row r="37" spans="1:47" ht="12.75">
      <c r="A37" s="27"/>
      <c r="B37" s="8"/>
      <c r="C37" s="25"/>
      <c r="D37" s="10"/>
      <c r="E37" s="29"/>
      <c r="F37" s="242">
        <f t="shared" si="0"/>
        <v>0</v>
      </c>
      <c r="G37" s="241">
        <f t="shared" si="1"/>
        <v>0</v>
      </c>
      <c r="H37" s="241">
        <f t="shared" si="2"/>
        <v>0</v>
      </c>
      <c r="I37" s="254"/>
      <c r="J37" s="1"/>
      <c r="K37" s="1"/>
      <c r="L37" s="254"/>
      <c r="M37" s="261"/>
      <c r="N37" s="257"/>
      <c r="O37" s="257"/>
      <c r="P37" s="261"/>
      <c r="Q37" s="270"/>
      <c r="R37" s="264"/>
      <c r="S37" s="264"/>
      <c r="T37" s="266"/>
      <c r="U37" s="223"/>
      <c r="V37" s="171"/>
      <c r="W37" s="171"/>
      <c r="X37" s="232"/>
      <c r="Y37" s="231"/>
      <c r="Z37" s="171"/>
      <c r="AA37" s="171"/>
      <c r="AB37" s="232"/>
      <c r="AC37" s="223"/>
      <c r="AD37" s="171"/>
      <c r="AE37" s="171"/>
      <c r="AF37" s="49"/>
      <c r="AG37" s="49"/>
      <c r="AH37" s="171"/>
      <c r="AI37" s="171"/>
      <c r="AJ37" s="49"/>
      <c r="AK37" s="171"/>
      <c r="AL37" s="171"/>
      <c r="AM37" s="49"/>
      <c r="AN37" s="49"/>
      <c r="AO37" s="171"/>
      <c r="AP37" s="171"/>
      <c r="AQ37" s="49"/>
      <c r="AR37" s="49"/>
      <c r="AS37" s="171"/>
      <c r="AT37" s="171"/>
      <c r="AU37" s="49"/>
    </row>
    <row r="38" spans="1:47" ht="12.75">
      <c r="A38" s="27"/>
      <c r="B38" s="8"/>
      <c r="C38" s="25"/>
      <c r="D38" s="10"/>
      <c r="E38" s="29"/>
      <c r="F38" s="242">
        <f t="shared" si="0"/>
        <v>0</v>
      </c>
      <c r="G38" s="241">
        <f t="shared" si="1"/>
        <v>0</v>
      </c>
      <c r="H38" s="241">
        <f t="shared" si="2"/>
        <v>0</v>
      </c>
      <c r="I38" s="254"/>
      <c r="J38" s="1"/>
      <c r="K38" s="1"/>
      <c r="L38" s="254"/>
      <c r="M38" s="261"/>
      <c r="N38" s="257"/>
      <c r="O38" s="257"/>
      <c r="P38" s="261"/>
      <c r="Q38" s="270"/>
      <c r="R38" s="264"/>
      <c r="S38" s="264"/>
      <c r="T38" s="266"/>
      <c r="U38" s="223"/>
      <c r="V38" s="171"/>
      <c r="W38" s="171"/>
      <c r="X38" s="232"/>
      <c r="Y38" s="231"/>
      <c r="Z38" s="171"/>
      <c r="AA38" s="171"/>
      <c r="AB38" s="232"/>
      <c r="AC38" s="223"/>
      <c r="AD38" s="171"/>
      <c r="AE38" s="171"/>
      <c r="AF38" s="49"/>
      <c r="AG38" s="49"/>
      <c r="AH38" s="171"/>
      <c r="AI38" s="171"/>
      <c r="AJ38" s="49"/>
      <c r="AK38" s="171"/>
      <c r="AL38" s="171"/>
      <c r="AM38" s="49"/>
      <c r="AN38" s="49"/>
      <c r="AO38" s="171"/>
      <c r="AP38" s="171"/>
      <c r="AQ38" s="49"/>
      <c r="AR38" s="49"/>
      <c r="AS38" s="171"/>
      <c r="AT38" s="171"/>
      <c r="AU38" s="49"/>
    </row>
    <row r="39" spans="1:47" ht="12.75">
      <c r="A39" s="27"/>
      <c r="B39" s="8"/>
      <c r="C39" s="25"/>
      <c r="D39" s="10"/>
      <c r="E39" s="29"/>
      <c r="F39" s="242">
        <f t="shared" si="0"/>
        <v>0</v>
      </c>
      <c r="G39" s="241">
        <f t="shared" si="1"/>
        <v>0</v>
      </c>
      <c r="H39" s="241">
        <f t="shared" si="2"/>
        <v>0</v>
      </c>
      <c r="I39" s="254"/>
      <c r="J39" s="1"/>
      <c r="K39" s="1"/>
      <c r="L39" s="254"/>
      <c r="M39" s="261"/>
      <c r="N39" s="257"/>
      <c r="O39" s="257"/>
      <c r="P39" s="261"/>
      <c r="Q39" s="270"/>
      <c r="R39" s="264"/>
      <c r="S39" s="264"/>
      <c r="T39" s="266"/>
      <c r="U39" s="223"/>
      <c r="V39" s="171"/>
      <c r="W39" s="171"/>
      <c r="X39" s="232"/>
      <c r="Y39" s="231"/>
      <c r="Z39" s="171"/>
      <c r="AA39" s="171"/>
      <c r="AB39" s="232"/>
      <c r="AC39" s="223"/>
      <c r="AD39" s="171"/>
      <c r="AE39" s="171"/>
      <c r="AF39" s="49"/>
      <c r="AG39" s="49"/>
      <c r="AH39" s="171"/>
      <c r="AI39" s="171"/>
      <c r="AJ39" s="49"/>
      <c r="AK39" s="171"/>
      <c r="AL39" s="171"/>
      <c r="AM39" s="49"/>
      <c r="AN39" s="49"/>
      <c r="AO39" s="171"/>
      <c r="AP39" s="171"/>
      <c r="AQ39" s="49"/>
      <c r="AR39" s="49"/>
      <c r="AS39" s="171"/>
      <c r="AT39" s="171"/>
      <c r="AU39" s="49"/>
    </row>
    <row r="40" spans="1:47" ht="13.5" thickBot="1">
      <c r="A40" s="330"/>
      <c r="B40" s="120"/>
      <c r="C40" s="120"/>
      <c r="D40" s="298"/>
      <c r="E40" s="131"/>
      <c r="F40" s="299">
        <f t="shared" si="0"/>
        <v>0</v>
      </c>
      <c r="G40" s="300">
        <f t="shared" si="1"/>
        <v>0</v>
      </c>
      <c r="H40" s="300">
        <f t="shared" si="2"/>
        <v>0</v>
      </c>
      <c r="I40" s="301"/>
      <c r="J40" s="302"/>
      <c r="K40" s="302"/>
      <c r="L40" s="301"/>
      <c r="M40" s="303"/>
      <c r="N40" s="304"/>
      <c r="O40" s="304"/>
      <c r="P40" s="303"/>
      <c r="Q40" s="305"/>
      <c r="R40" s="306"/>
      <c r="S40" s="306"/>
      <c r="T40" s="307"/>
      <c r="U40" s="308"/>
      <c r="V40" s="309"/>
      <c r="W40" s="309"/>
      <c r="X40" s="310"/>
      <c r="Y40" s="311"/>
      <c r="Z40" s="309"/>
      <c r="AA40" s="309"/>
      <c r="AB40" s="310"/>
      <c r="AC40" s="308"/>
      <c r="AD40" s="309"/>
      <c r="AE40" s="309"/>
      <c r="AF40" s="312"/>
      <c r="AG40" s="312"/>
      <c r="AH40" s="309"/>
      <c r="AI40" s="309"/>
      <c r="AJ40" s="312"/>
      <c r="AK40" s="309"/>
      <c r="AL40" s="309"/>
      <c r="AM40" s="312"/>
      <c r="AN40" s="312"/>
      <c r="AO40" s="309"/>
      <c r="AP40" s="309"/>
      <c r="AQ40" s="312"/>
      <c r="AR40" s="312"/>
      <c r="AS40" s="309"/>
      <c r="AT40" s="309"/>
      <c r="AU40" s="312"/>
    </row>
    <row r="41" spans="1:47" ht="13.5" thickBot="1">
      <c r="A41" s="339" t="s">
        <v>349</v>
      </c>
      <c r="B41" s="324"/>
      <c r="C41" s="21"/>
      <c r="D41" s="22"/>
      <c r="E41" s="325"/>
      <c r="F41" s="326">
        <f t="shared" si="0"/>
        <v>157340</v>
      </c>
      <c r="G41" s="326">
        <f t="shared" si="1"/>
        <v>0</v>
      </c>
      <c r="H41" s="326">
        <f t="shared" si="2"/>
        <v>157340</v>
      </c>
      <c r="I41" s="327"/>
      <c r="J41" s="327">
        <f>SUM(J42:J57)</f>
        <v>0</v>
      </c>
      <c r="K41" s="327">
        <f>SUM(K42:K57)</f>
        <v>157340</v>
      </c>
      <c r="L41" s="327"/>
      <c r="M41" s="328"/>
      <c r="N41" s="328">
        <f>SUM(N42:N57)</f>
        <v>0</v>
      </c>
      <c r="O41" s="328">
        <f>SUM(O42:O57)</f>
        <v>0</v>
      </c>
      <c r="P41" s="328"/>
      <c r="Q41" s="329"/>
      <c r="R41" s="329">
        <f>SUM(R42:R57)</f>
        <v>0</v>
      </c>
      <c r="S41" s="329">
        <f>SUM(S42:S57)</f>
        <v>0</v>
      </c>
      <c r="T41" s="236"/>
      <c r="U41" s="225"/>
      <c r="V41" s="32">
        <f>SUM(V42:V57)</f>
        <v>0</v>
      </c>
      <c r="W41" s="32">
        <f>SUM(W42:W57)</f>
        <v>157340</v>
      </c>
      <c r="X41" s="236"/>
      <c r="Y41" s="235"/>
      <c r="Z41" s="32">
        <f>SUM(Z42:Z57)</f>
        <v>0</v>
      </c>
      <c r="AA41" s="32">
        <f>SUM(AA42:AA57)</f>
        <v>49000</v>
      </c>
      <c r="AB41" s="236"/>
      <c r="AC41" s="225"/>
      <c r="AD41" s="32">
        <f>SUM(AD42:AD57)</f>
        <v>0</v>
      </c>
      <c r="AE41" s="32">
        <f>SUM(AE42:AE57)</f>
        <v>0</v>
      </c>
      <c r="AF41" s="32"/>
      <c r="AG41" s="32"/>
      <c r="AH41" s="32">
        <f>SUM(AH42:AH57)</f>
        <v>0</v>
      </c>
      <c r="AI41" s="32">
        <f>SUM(AI42:AI57)</f>
        <v>0</v>
      </c>
      <c r="AJ41" s="32"/>
      <c r="AK41" s="32">
        <f>SUM(AK42:AK57)</f>
        <v>0</v>
      </c>
      <c r="AL41" s="32">
        <f>SUM(AL42:AL57)</f>
        <v>0</v>
      </c>
      <c r="AM41" s="32"/>
      <c r="AN41" s="32"/>
      <c r="AO41" s="32">
        <f>SUM(AO42:AO57)</f>
        <v>0</v>
      </c>
      <c r="AP41" s="32">
        <f>SUM(AP42:AP57)</f>
        <v>0</v>
      </c>
      <c r="AQ41" s="32"/>
      <c r="AR41" s="32"/>
      <c r="AS41" s="32">
        <f>SUM(AS42:AS57)</f>
        <v>0</v>
      </c>
      <c r="AT41" s="32">
        <f>SUM(AT42:AT57)</f>
        <v>0</v>
      </c>
      <c r="AU41" s="236"/>
    </row>
    <row r="42" spans="1:47" ht="25.5">
      <c r="A42" s="313" t="s">
        <v>183</v>
      </c>
      <c r="B42" s="19"/>
      <c r="C42" s="19" t="s">
        <v>8</v>
      </c>
      <c r="D42" s="331"/>
      <c r="E42" s="39"/>
      <c r="F42" s="332">
        <f t="shared" si="0"/>
        <v>104000</v>
      </c>
      <c r="G42" s="174">
        <f t="shared" si="1"/>
        <v>0</v>
      </c>
      <c r="H42" s="174">
        <f t="shared" si="2"/>
        <v>104000</v>
      </c>
      <c r="I42" s="333" t="s">
        <v>275</v>
      </c>
      <c r="J42" s="317"/>
      <c r="K42" s="333">
        <v>104000</v>
      </c>
      <c r="L42" s="333" t="s">
        <v>276</v>
      </c>
      <c r="M42" s="334"/>
      <c r="N42" s="319"/>
      <c r="O42" s="334"/>
      <c r="P42" s="334"/>
      <c r="Q42" s="335"/>
      <c r="R42" s="321"/>
      <c r="S42" s="335"/>
      <c r="T42" s="336"/>
      <c r="U42" s="295" t="s">
        <v>354</v>
      </c>
      <c r="V42" s="173"/>
      <c r="W42" s="295">
        <v>104000</v>
      </c>
      <c r="X42" s="295" t="s">
        <v>276</v>
      </c>
      <c r="Y42" s="172" t="s">
        <v>380</v>
      </c>
      <c r="Z42" s="173"/>
      <c r="AA42" s="295">
        <v>30000</v>
      </c>
      <c r="AB42" s="337"/>
      <c r="AC42" s="338"/>
      <c r="AD42" s="173"/>
      <c r="AE42" s="295"/>
      <c r="AF42" s="295"/>
      <c r="AG42" s="295"/>
      <c r="AH42" s="173"/>
      <c r="AI42" s="295"/>
      <c r="AJ42" s="295"/>
      <c r="AK42" s="173"/>
      <c r="AL42" s="295"/>
      <c r="AM42" s="295"/>
      <c r="AN42" s="295"/>
      <c r="AO42" s="173"/>
      <c r="AP42" s="295"/>
      <c r="AQ42" s="295"/>
      <c r="AR42" s="295"/>
      <c r="AS42" s="173"/>
      <c r="AT42" s="295"/>
      <c r="AU42" s="295"/>
    </row>
    <row r="43" spans="1:47" ht="25.5">
      <c r="A43" s="27" t="s">
        <v>71</v>
      </c>
      <c r="B43" s="8"/>
      <c r="C43" s="8" t="s">
        <v>93</v>
      </c>
      <c r="D43" s="37"/>
      <c r="E43" s="38"/>
      <c r="F43" s="245">
        <f t="shared" si="0"/>
        <v>0</v>
      </c>
      <c r="G43" s="241">
        <f t="shared" si="1"/>
        <v>0</v>
      </c>
      <c r="H43" s="241">
        <f t="shared" si="2"/>
        <v>0</v>
      </c>
      <c r="I43" s="254"/>
      <c r="J43" s="1"/>
      <c r="K43" s="1"/>
      <c r="L43" s="254"/>
      <c r="M43" s="261"/>
      <c r="N43" s="257"/>
      <c r="O43" s="257"/>
      <c r="P43" s="261"/>
      <c r="Q43" s="270"/>
      <c r="R43" s="264"/>
      <c r="S43" s="264"/>
      <c r="T43" s="266"/>
      <c r="U43" s="49" t="s">
        <v>355</v>
      </c>
      <c r="V43" s="171"/>
      <c r="W43" s="171"/>
      <c r="X43" s="49"/>
      <c r="Y43" s="49"/>
      <c r="Z43" s="171"/>
      <c r="AA43" s="35">
        <f>Z43*Y43*W43</f>
        <v>0</v>
      </c>
      <c r="AB43" s="232"/>
      <c r="AC43" s="223"/>
      <c r="AD43" s="171"/>
      <c r="AE43" s="171"/>
      <c r="AF43" s="49"/>
      <c r="AG43" s="49"/>
      <c r="AH43" s="171"/>
      <c r="AI43" s="171"/>
      <c r="AJ43" s="49"/>
      <c r="AK43" s="171"/>
      <c r="AL43" s="171"/>
      <c r="AM43" s="49"/>
      <c r="AN43" s="49"/>
      <c r="AO43" s="171"/>
      <c r="AP43" s="171"/>
      <c r="AQ43" s="49"/>
      <c r="AR43" s="49"/>
      <c r="AS43" s="171"/>
      <c r="AT43" s="171"/>
      <c r="AU43" s="49"/>
    </row>
    <row r="44" spans="1:47" ht="38.25">
      <c r="A44" s="27" t="s">
        <v>72</v>
      </c>
      <c r="B44" s="285"/>
      <c r="C44" s="286" t="s">
        <v>8</v>
      </c>
      <c r="D44" s="171"/>
      <c r="E44" s="38"/>
      <c r="F44" s="171">
        <f t="shared" si="0"/>
        <v>0</v>
      </c>
      <c r="G44" s="241">
        <f t="shared" si="1"/>
        <v>0</v>
      </c>
      <c r="H44" s="241">
        <f t="shared" si="2"/>
        <v>0</v>
      </c>
      <c r="I44" s="254"/>
      <c r="J44" s="1"/>
      <c r="K44" s="1"/>
      <c r="L44" s="254"/>
      <c r="M44" s="261"/>
      <c r="N44" s="257"/>
      <c r="O44" s="257"/>
      <c r="P44" s="261"/>
      <c r="Q44" s="270"/>
      <c r="R44" s="264"/>
      <c r="S44" s="264"/>
      <c r="T44" s="266"/>
      <c r="U44" s="49" t="s">
        <v>356</v>
      </c>
      <c r="V44" s="171"/>
      <c r="W44" s="171"/>
      <c r="X44" s="49"/>
      <c r="Y44" s="49" t="s">
        <v>381</v>
      </c>
      <c r="Z44" s="171"/>
      <c r="AA44" s="294">
        <v>10000</v>
      </c>
      <c r="AB44" s="232"/>
      <c r="AC44" s="223"/>
      <c r="AD44" s="171"/>
      <c r="AE44" s="171"/>
      <c r="AF44" s="49"/>
      <c r="AG44" s="49"/>
      <c r="AH44" s="171"/>
      <c r="AI44" s="171"/>
      <c r="AJ44" s="49"/>
      <c r="AK44" s="171"/>
      <c r="AL44" s="171"/>
      <c r="AM44" s="49"/>
      <c r="AN44" s="49"/>
      <c r="AO44" s="171"/>
      <c r="AP44" s="171"/>
      <c r="AQ44" s="49"/>
      <c r="AR44" s="49"/>
      <c r="AS44" s="171"/>
      <c r="AT44" s="171"/>
      <c r="AU44" s="49"/>
    </row>
    <row r="45" spans="1:47" ht="25.5">
      <c r="A45" s="27" t="s">
        <v>75</v>
      </c>
      <c r="B45" s="8"/>
      <c r="C45" s="36" t="s">
        <v>195</v>
      </c>
      <c r="D45" s="37"/>
      <c r="E45" s="38"/>
      <c r="F45" s="245">
        <f t="shared" si="0"/>
        <v>0</v>
      </c>
      <c r="G45" s="241">
        <f t="shared" si="1"/>
        <v>0</v>
      </c>
      <c r="H45" s="241">
        <f t="shared" si="2"/>
        <v>0</v>
      </c>
      <c r="I45" s="254"/>
      <c r="J45" s="1"/>
      <c r="K45" s="1"/>
      <c r="L45" s="254"/>
      <c r="M45" s="261"/>
      <c r="N45" s="257"/>
      <c r="O45" s="257"/>
      <c r="P45" s="261"/>
      <c r="Q45" s="270"/>
      <c r="R45" s="264"/>
      <c r="S45" s="264"/>
      <c r="T45" s="266"/>
      <c r="U45" s="49" t="s">
        <v>357</v>
      </c>
      <c r="V45" s="171"/>
      <c r="W45" s="171"/>
      <c r="X45" s="49"/>
      <c r="Y45" s="49"/>
      <c r="Z45" s="171"/>
      <c r="AA45" s="35">
        <f>Z45*Y45*W45</f>
        <v>0</v>
      </c>
      <c r="AB45" s="232"/>
      <c r="AC45" s="223"/>
      <c r="AD45" s="171"/>
      <c r="AE45" s="171"/>
      <c r="AF45" s="49"/>
      <c r="AG45" s="49"/>
      <c r="AH45" s="171"/>
      <c r="AI45" s="171"/>
      <c r="AJ45" s="49"/>
      <c r="AK45" s="171"/>
      <c r="AL45" s="171"/>
      <c r="AM45" s="49"/>
      <c r="AN45" s="49"/>
      <c r="AO45" s="171"/>
      <c r="AP45" s="171"/>
      <c r="AQ45" s="49"/>
      <c r="AR45" s="49"/>
      <c r="AS45" s="171"/>
      <c r="AT45" s="171"/>
      <c r="AU45" s="49"/>
    </row>
    <row r="46" spans="1:47" ht="25.5">
      <c r="A46" s="27" t="s">
        <v>74</v>
      </c>
      <c r="B46" s="285"/>
      <c r="C46" s="286" t="s">
        <v>8</v>
      </c>
      <c r="D46" s="171"/>
      <c r="E46" s="38"/>
      <c r="F46" s="245">
        <f t="shared" si="0"/>
        <v>0</v>
      </c>
      <c r="G46" s="241">
        <f t="shared" si="1"/>
        <v>0</v>
      </c>
      <c r="H46" s="241">
        <f t="shared" si="2"/>
        <v>0</v>
      </c>
      <c r="I46" s="254"/>
      <c r="J46" s="1"/>
      <c r="K46" s="1"/>
      <c r="L46" s="254"/>
      <c r="M46" s="261"/>
      <c r="N46" s="257"/>
      <c r="O46" s="257"/>
      <c r="P46" s="261"/>
      <c r="Q46" s="270"/>
      <c r="R46" s="264"/>
      <c r="S46" s="264"/>
      <c r="T46" s="266"/>
      <c r="U46" s="49" t="s">
        <v>358</v>
      </c>
      <c r="V46" s="171"/>
      <c r="W46" s="171"/>
      <c r="X46" s="49"/>
      <c r="Y46" s="49" t="s">
        <v>382</v>
      </c>
      <c r="Z46" s="171"/>
      <c r="AA46" s="35">
        <v>4000</v>
      </c>
      <c r="AB46" s="232"/>
      <c r="AC46" s="223"/>
      <c r="AD46" s="171"/>
      <c r="AE46" s="171"/>
      <c r="AF46" s="49"/>
      <c r="AG46" s="49"/>
      <c r="AH46" s="171"/>
      <c r="AI46" s="171"/>
      <c r="AJ46" s="49"/>
      <c r="AK46" s="171"/>
      <c r="AL46" s="171"/>
      <c r="AM46" s="49"/>
      <c r="AN46" s="49"/>
      <c r="AO46" s="171"/>
      <c r="AP46" s="171"/>
      <c r="AQ46" s="49"/>
      <c r="AR46" s="49"/>
      <c r="AS46" s="171"/>
      <c r="AT46" s="171"/>
      <c r="AU46" s="49"/>
    </row>
    <row r="47" spans="1:47" ht="12.75">
      <c r="A47" s="27" t="s">
        <v>73</v>
      </c>
      <c r="B47" s="8"/>
      <c r="C47" s="36" t="s">
        <v>195</v>
      </c>
      <c r="D47" s="37"/>
      <c r="E47" s="38"/>
      <c r="F47" s="245">
        <f t="shared" si="0"/>
        <v>0</v>
      </c>
      <c r="G47" s="241">
        <f t="shared" si="1"/>
        <v>0</v>
      </c>
      <c r="H47" s="241">
        <f t="shared" si="2"/>
        <v>0</v>
      </c>
      <c r="I47" s="254"/>
      <c r="J47" s="1"/>
      <c r="K47" s="1"/>
      <c r="L47" s="254"/>
      <c r="M47" s="261"/>
      <c r="N47" s="257"/>
      <c r="O47" s="257"/>
      <c r="P47" s="261"/>
      <c r="Q47" s="270"/>
      <c r="R47" s="264"/>
      <c r="S47" s="264"/>
      <c r="T47" s="266"/>
      <c r="U47" s="49"/>
      <c r="V47" s="171"/>
      <c r="W47" s="171"/>
      <c r="X47" s="49"/>
      <c r="Y47" s="231"/>
      <c r="Z47" s="171"/>
      <c r="AA47" s="171"/>
      <c r="AB47" s="232"/>
      <c r="AC47" s="223"/>
      <c r="AD47" s="171"/>
      <c r="AE47" s="171"/>
      <c r="AF47" s="49"/>
      <c r="AG47" s="49"/>
      <c r="AH47" s="171"/>
      <c r="AI47" s="171"/>
      <c r="AJ47" s="49"/>
      <c r="AK47" s="171"/>
      <c r="AL47" s="171"/>
      <c r="AM47" s="49"/>
      <c r="AN47" s="49"/>
      <c r="AO47" s="171"/>
      <c r="AP47" s="171"/>
      <c r="AQ47" s="49"/>
      <c r="AR47" s="49"/>
      <c r="AS47" s="171"/>
      <c r="AT47" s="171"/>
      <c r="AU47" s="49"/>
    </row>
    <row r="48" spans="1:47" ht="51">
      <c r="A48" s="27" t="s">
        <v>46</v>
      </c>
      <c r="B48" s="8"/>
      <c r="C48" s="8" t="s">
        <v>14</v>
      </c>
      <c r="D48" s="37"/>
      <c r="E48" s="38"/>
      <c r="F48" s="245">
        <f t="shared" si="0"/>
        <v>29440</v>
      </c>
      <c r="G48" s="241">
        <f t="shared" si="1"/>
        <v>0</v>
      </c>
      <c r="H48" s="241">
        <f t="shared" si="2"/>
        <v>29440</v>
      </c>
      <c r="I48" s="254" t="s">
        <v>277</v>
      </c>
      <c r="J48" s="1"/>
      <c r="K48" s="254">
        <v>29440</v>
      </c>
      <c r="L48" s="254" t="s">
        <v>278</v>
      </c>
      <c r="M48" s="261"/>
      <c r="N48" s="257"/>
      <c r="O48" s="261"/>
      <c r="P48" s="261"/>
      <c r="Q48" s="270"/>
      <c r="R48" s="264"/>
      <c r="S48" s="270"/>
      <c r="T48" s="266"/>
      <c r="U48" s="49" t="s">
        <v>359</v>
      </c>
      <c r="V48" s="171"/>
      <c r="W48" s="49">
        <v>29440</v>
      </c>
      <c r="X48" s="49" t="s">
        <v>278</v>
      </c>
      <c r="Y48" s="231"/>
      <c r="Z48" s="171"/>
      <c r="AA48" s="49"/>
      <c r="AB48" s="232"/>
      <c r="AC48" s="223"/>
      <c r="AD48" s="171"/>
      <c r="AE48" s="49"/>
      <c r="AF48" s="49"/>
      <c r="AG48" s="49"/>
      <c r="AH48" s="171"/>
      <c r="AI48" s="49"/>
      <c r="AJ48" s="49"/>
      <c r="AK48" s="171"/>
      <c r="AL48" s="49"/>
      <c r="AM48" s="49"/>
      <c r="AN48" s="49"/>
      <c r="AO48" s="171"/>
      <c r="AP48" s="49"/>
      <c r="AQ48" s="49"/>
      <c r="AR48" s="49"/>
      <c r="AS48" s="171"/>
      <c r="AT48" s="49"/>
      <c r="AU48" s="49"/>
    </row>
    <row r="49" spans="1:47" ht="49.5" customHeight="1">
      <c r="A49" s="27" t="s">
        <v>94</v>
      </c>
      <c r="B49" s="8"/>
      <c r="C49" s="8" t="s">
        <v>14</v>
      </c>
      <c r="D49" s="37"/>
      <c r="E49" s="38"/>
      <c r="F49" s="245">
        <f t="shared" si="0"/>
        <v>400</v>
      </c>
      <c r="G49" s="241">
        <f t="shared" si="1"/>
        <v>0</v>
      </c>
      <c r="H49" s="241">
        <f t="shared" si="2"/>
        <v>400</v>
      </c>
      <c r="I49" s="254" t="s">
        <v>280</v>
      </c>
      <c r="J49" s="1"/>
      <c r="K49" s="1">
        <v>400</v>
      </c>
      <c r="L49" s="254" t="s">
        <v>279</v>
      </c>
      <c r="M49" s="261"/>
      <c r="N49" s="257"/>
      <c r="O49" s="257"/>
      <c r="P49" s="261"/>
      <c r="Q49" s="270"/>
      <c r="R49" s="264"/>
      <c r="S49" s="264"/>
      <c r="T49" s="266"/>
      <c r="U49" s="49" t="s">
        <v>360</v>
      </c>
      <c r="V49" s="171"/>
      <c r="W49" s="171">
        <v>400</v>
      </c>
      <c r="X49" s="49" t="s">
        <v>279</v>
      </c>
      <c r="Y49" s="231"/>
      <c r="Z49" s="171"/>
      <c r="AA49" s="171"/>
      <c r="AB49" s="232"/>
      <c r="AC49" s="223"/>
      <c r="AD49" s="171"/>
      <c r="AE49" s="171"/>
      <c r="AF49" s="49"/>
      <c r="AG49" s="49"/>
      <c r="AH49" s="171"/>
      <c r="AI49" s="171"/>
      <c r="AJ49" s="49"/>
      <c r="AK49" s="171"/>
      <c r="AL49" s="171"/>
      <c r="AM49" s="49"/>
      <c r="AN49" s="49"/>
      <c r="AO49" s="171"/>
      <c r="AP49" s="171"/>
      <c r="AQ49" s="49"/>
      <c r="AR49" s="49"/>
      <c r="AS49" s="171"/>
      <c r="AT49" s="171"/>
      <c r="AU49" s="49"/>
    </row>
    <row r="50" spans="1:47" ht="63.75">
      <c r="A50" s="27" t="s">
        <v>47</v>
      </c>
      <c r="B50" s="8"/>
      <c r="C50" s="8" t="s">
        <v>14</v>
      </c>
      <c r="D50" s="37"/>
      <c r="E50" s="38"/>
      <c r="F50" s="245">
        <f t="shared" si="0"/>
        <v>450</v>
      </c>
      <c r="G50" s="241">
        <f t="shared" si="1"/>
        <v>0</v>
      </c>
      <c r="H50" s="241">
        <f t="shared" si="2"/>
        <v>450</v>
      </c>
      <c r="I50" s="254" t="s">
        <v>282</v>
      </c>
      <c r="J50" s="1"/>
      <c r="K50" s="1">
        <v>450</v>
      </c>
      <c r="L50" s="254" t="s">
        <v>281</v>
      </c>
      <c r="M50" s="261"/>
      <c r="N50" s="257"/>
      <c r="O50" s="257"/>
      <c r="P50" s="261"/>
      <c r="Q50" s="270"/>
      <c r="R50" s="264"/>
      <c r="S50" s="264"/>
      <c r="T50" s="266"/>
      <c r="U50" s="49" t="s">
        <v>361</v>
      </c>
      <c r="V50" s="171"/>
      <c r="W50" s="171">
        <v>450</v>
      </c>
      <c r="X50" s="49" t="s">
        <v>281</v>
      </c>
      <c r="Y50" s="231"/>
      <c r="Z50" s="171"/>
      <c r="AA50" s="171"/>
      <c r="AB50" s="232"/>
      <c r="AC50" s="223"/>
      <c r="AD50" s="171"/>
      <c r="AE50" s="171"/>
      <c r="AF50" s="49"/>
      <c r="AG50" s="49"/>
      <c r="AH50" s="171"/>
      <c r="AI50" s="171"/>
      <c r="AJ50" s="49"/>
      <c r="AK50" s="171"/>
      <c r="AL50" s="171"/>
      <c r="AM50" s="49"/>
      <c r="AN50" s="49"/>
      <c r="AO50" s="171"/>
      <c r="AP50" s="171"/>
      <c r="AQ50" s="49"/>
      <c r="AR50" s="49"/>
      <c r="AS50" s="171"/>
      <c r="AT50" s="171"/>
      <c r="AU50" s="49"/>
    </row>
    <row r="51" spans="1:47" ht="76.5">
      <c r="A51" s="27" t="s">
        <v>184</v>
      </c>
      <c r="B51" s="8"/>
      <c r="C51" s="8" t="s">
        <v>171</v>
      </c>
      <c r="D51" s="37"/>
      <c r="E51" s="38"/>
      <c r="F51" s="245">
        <f t="shared" si="0"/>
        <v>12000</v>
      </c>
      <c r="G51" s="241">
        <f t="shared" si="1"/>
        <v>0</v>
      </c>
      <c r="H51" s="241">
        <f t="shared" si="2"/>
        <v>12000</v>
      </c>
      <c r="I51" s="254" t="s">
        <v>283</v>
      </c>
      <c r="J51" s="1"/>
      <c r="K51" s="1">
        <v>12000</v>
      </c>
      <c r="L51" s="254"/>
      <c r="M51" s="261"/>
      <c r="N51" s="257"/>
      <c r="O51" s="257"/>
      <c r="P51" s="261"/>
      <c r="Q51" s="270"/>
      <c r="R51" s="264"/>
      <c r="S51" s="264"/>
      <c r="T51" s="266"/>
      <c r="U51" s="49" t="s">
        <v>362</v>
      </c>
      <c r="V51" s="171"/>
      <c r="W51" s="171">
        <v>12000</v>
      </c>
      <c r="X51" s="49"/>
      <c r="Y51" s="231"/>
      <c r="Z51" s="171"/>
      <c r="AA51" s="171"/>
      <c r="AB51" s="232"/>
      <c r="AC51" s="223"/>
      <c r="AD51" s="171"/>
      <c r="AE51" s="171"/>
      <c r="AF51" s="49"/>
      <c r="AG51" s="49"/>
      <c r="AH51" s="171"/>
      <c r="AI51" s="171"/>
      <c r="AJ51" s="49"/>
      <c r="AK51" s="171"/>
      <c r="AL51" s="171"/>
      <c r="AM51" s="49"/>
      <c r="AN51" s="49"/>
      <c r="AO51" s="171"/>
      <c r="AP51" s="171"/>
      <c r="AQ51" s="49"/>
      <c r="AR51" s="49"/>
      <c r="AS51" s="171"/>
      <c r="AT51" s="171"/>
      <c r="AU51" s="49"/>
    </row>
    <row r="52" spans="1:47" ht="12.75">
      <c r="A52" s="27" t="s">
        <v>49</v>
      </c>
      <c r="B52" s="8"/>
      <c r="C52" s="8" t="s">
        <v>8</v>
      </c>
      <c r="D52" s="37"/>
      <c r="E52" s="38"/>
      <c r="F52" s="245">
        <f t="shared" si="0"/>
        <v>3000</v>
      </c>
      <c r="G52" s="241">
        <f t="shared" si="1"/>
        <v>0</v>
      </c>
      <c r="H52" s="241">
        <f t="shared" si="2"/>
        <v>3000</v>
      </c>
      <c r="I52" s="254"/>
      <c r="J52" s="1"/>
      <c r="K52" s="1">
        <v>3000</v>
      </c>
      <c r="L52" s="254"/>
      <c r="M52" s="261"/>
      <c r="N52" s="257"/>
      <c r="O52" s="257"/>
      <c r="P52" s="261"/>
      <c r="Q52" s="270"/>
      <c r="R52" s="264"/>
      <c r="S52" s="264"/>
      <c r="T52" s="266"/>
      <c r="U52" s="49" t="s">
        <v>363</v>
      </c>
      <c r="V52" s="171"/>
      <c r="W52" s="171">
        <v>3000</v>
      </c>
      <c r="X52" s="49"/>
      <c r="Y52" s="231"/>
      <c r="Z52" s="171"/>
      <c r="AA52" s="171"/>
      <c r="AB52" s="232"/>
      <c r="AC52" s="223"/>
      <c r="AD52" s="171"/>
      <c r="AE52" s="171"/>
      <c r="AF52" s="49"/>
      <c r="AG52" s="49"/>
      <c r="AH52" s="171"/>
      <c r="AI52" s="171"/>
      <c r="AJ52" s="49"/>
      <c r="AK52" s="171"/>
      <c r="AL52" s="171"/>
      <c r="AM52" s="49"/>
      <c r="AN52" s="49"/>
      <c r="AO52" s="171"/>
      <c r="AP52" s="171"/>
      <c r="AQ52" s="49"/>
      <c r="AR52" s="49"/>
      <c r="AS52" s="171"/>
      <c r="AT52" s="171"/>
      <c r="AU52" s="49"/>
    </row>
    <row r="53" spans="1:47" ht="12.75">
      <c r="A53" s="27" t="s">
        <v>50</v>
      </c>
      <c r="B53" s="8"/>
      <c r="C53" s="8" t="s">
        <v>11</v>
      </c>
      <c r="D53" s="37"/>
      <c r="E53" s="38"/>
      <c r="F53" s="245">
        <f t="shared" si="0"/>
        <v>0</v>
      </c>
      <c r="G53" s="241">
        <f t="shared" si="1"/>
        <v>0</v>
      </c>
      <c r="H53" s="241">
        <f t="shared" si="2"/>
        <v>0</v>
      </c>
      <c r="I53" s="254"/>
      <c r="J53" s="1"/>
      <c r="K53" s="1"/>
      <c r="L53" s="254"/>
      <c r="M53" s="261"/>
      <c r="N53" s="257"/>
      <c r="O53" s="257"/>
      <c r="P53" s="261"/>
      <c r="Q53" s="270"/>
      <c r="R53" s="264"/>
      <c r="S53" s="264"/>
      <c r="T53" s="266"/>
      <c r="U53" s="49"/>
      <c r="V53" s="171"/>
      <c r="W53" s="171"/>
      <c r="X53" s="49"/>
      <c r="Y53" s="231"/>
      <c r="Z53" s="171"/>
      <c r="AA53" s="171"/>
      <c r="AB53" s="232"/>
      <c r="AC53" s="223"/>
      <c r="AD53" s="171"/>
      <c r="AE53" s="171"/>
      <c r="AF53" s="49"/>
      <c r="AG53" s="49"/>
      <c r="AH53" s="171"/>
      <c r="AI53" s="171"/>
      <c r="AJ53" s="49"/>
      <c r="AK53" s="171"/>
      <c r="AL53" s="171"/>
      <c r="AM53" s="49"/>
      <c r="AN53" s="49"/>
      <c r="AO53" s="171"/>
      <c r="AP53" s="171"/>
      <c r="AQ53" s="49"/>
      <c r="AR53" s="49"/>
      <c r="AS53" s="171"/>
      <c r="AT53" s="171"/>
      <c r="AU53" s="49"/>
    </row>
    <row r="54" spans="1:47" ht="38.25">
      <c r="A54" s="27" t="s">
        <v>51</v>
      </c>
      <c r="B54" s="8"/>
      <c r="C54" s="8" t="s">
        <v>12</v>
      </c>
      <c r="D54" s="37"/>
      <c r="E54" s="38"/>
      <c r="F54" s="245">
        <f t="shared" si="0"/>
        <v>2600</v>
      </c>
      <c r="G54" s="241">
        <f t="shared" si="1"/>
        <v>0</v>
      </c>
      <c r="H54" s="241">
        <f t="shared" si="2"/>
        <v>2600</v>
      </c>
      <c r="I54" s="254" t="s">
        <v>287</v>
      </c>
      <c r="J54" s="1"/>
      <c r="K54" s="1">
        <v>2600</v>
      </c>
      <c r="L54" s="254" t="s">
        <v>284</v>
      </c>
      <c r="M54" s="261"/>
      <c r="N54" s="257"/>
      <c r="O54" s="257"/>
      <c r="P54" s="261"/>
      <c r="Q54" s="270"/>
      <c r="R54" s="264"/>
      <c r="S54" s="264"/>
      <c r="T54" s="266"/>
      <c r="U54" s="49" t="s">
        <v>364</v>
      </c>
      <c r="V54" s="171"/>
      <c r="W54" s="171">
        <v>2600</v>
      </c>
      <c r="X54" s="49" t="s">
        <v>284</v>
      </c>
      <c r="Y54" s="49" t="s">
        <v>383</v>
      </c>
      <c r="Z54" s="171"/>
      <c r="AA54" s="35">
        <v>2500</v>
      </c>
      <c r="AB54" s="232"/>
      <c r="AC54" s="223"/>
      <c r="AD54" s="171"/>
      <c r="AE54" s="171"/>
      <c r="AF54" s="49"/>
      <c r="AG54" s="49"/>
      <c r="AH54" s="171"/>
      <c r="AI54" s="171"/>
      <c r="AJ54" s="49"/>
      <c r="AK54" s="171"/>
      <c r="AL54" s="171"/>
      <c r="AM54" s="49"/>
      <c r="AN54" s="49"/>
      <c r="AO54" s="171"/>
      <c r="AP54" s="171"/>
      <c r="AQ54" s="49"/>
      <c r="AR54" s="49"/>
      <c r="AS54" s="171"/>
      <c r="AT54" s="171"/>
      <c r="AU54" s="49"/>
    </row>
    <row r="55" spans="1:47" ht="25.5">
      <c r="A55" s="284" t="s">
        <v>100</v>
      </c>
      <c r="B55" s="8"/>
      <c r="C55" s="8" t="s">
        <v>8</v>
      </c>
      <c r="D55" s="37"/>
      <c r="E55" s="38"/>
      <c r="F55" s="245">
        <f t="shared" si="0"/>
        <v>1250</v>
      </c>
      <c r="G55" s="241">
        <f t="shared" si="1"/>
        <v>0</v>
      </c>
      <c r="H55" s="241">
        <f t="shared" si="2"/>
        <v>1250</v>
      </c>
      <c r="I55" s="254" t="s">
        <v>285</v>
      </c>
      <c r="J55" s="1"/>
      <c r="K55" s="1">
        <v>1250</v>
      </c>
      <c r="L55" s="254" t="s">
        <v>286</v>
      </c>
      <c r="M55" s="261"/>
      <c r="N55" s="257"/>
      <c r="O55" s="257"/>
      <c r="P55" s="261"/>
      <c r="Q55" s="270"/>
      <c r="R55" s="264"/>
      <c r="S55" s="264"/>
      <c r="T55" s="266"/>
      <c r="U55" s="49" t="s">
        <v>365</v>
      </c>
      <c r="V55" s="171"/>
      <c r="W55" s="171">
        <v>1250</v>
      </c>
      <c r="X55" s="49" t="s">
        <v>286</v>
      </c>
      <c r="Y55" s="49" t="s">
        <v>384</v>
      </c>
      <c r="Z55" s="171"/>
      <c r="AA55" s="35">
        <v>2500</v>
      </c>
      <c r="AB55" s="232"/>
      <c r="AC55" s="223"/>
      <c r="AD55" s="171"/>
      <c r="AE55" s="171"/>
      <c r="AF55" s="49"/>
      <c r="AG55" s="49"/>
      <c r="AH55" s="171"/>
      <c r="AI55" s="171"/>
      <c r="AJ55" s="49"/>
      <c r="AK55" s="171"/>
      <c r="AL55" s="171"/>
      <c r="AM55" s="49"/>
      <c r="AN55" s="49"/>
      <c r="AO55" s="171"/>
      <c r="AP55" s="171"/>
      <c r="AQ55" s="49"/>
      <c r="AR55" s="49"/>
      <c r="AS55" s="171"/>
      <c r="AT55" s="171"/>
      <c r="AU55" s="49"/>
    </row>
    <row r="56" spans="1:47" ht="38.25">
      <c r="A56" s="27" t="s">
        <v>52</v>
      </c>
      <c r="B56" s="8"/>
      <c r="C56" s="8" t="s">
        <v>77</v>
      </c>
      <c r="D56" s="37"/>
      <c r="E56" s="38"/>
      <c r="F56" s="245">
        <f t="shared" si="0"/>
        <v>4200</v>
      </c>
      <c r="G56" s="241">
        <f t="shared" si="1"/>
        <v>0</v>
      </c>
      <c r="H56" s="241">
        <f t="shared" si="2"/>
        <v>4200</v>
      </c>
      <c r="I56" s="254" t="s">
        <v>288</v>
      </c>
      <c r="J56" s="1"/>
      <c r="K56" s="1">
        <v>4200</v>
      </c>
      <c r="L56" s="254" t="s">
        <v>289</v>
      </c>
      <c r="M56" s="261"/>
      <c r="N56" s="257"/>
      <c r="O56" s="257"/>
      <c r="P56" s="261"/>
      <c r="Q56" s="270"/>
      <c r="R56" s="264"/>
      <c r="S56" s="264"/>
      <c r="T56" s="266"/>
      <c r="U56" s="49" t="s">
        <v>366</v>
      </c>
      <c r="V56" s="171"/>
      <c r="W56" s="171">
        <v>4200</v>
      </c>
      <c r="X56" s="49" t="s">
        <v>289</v>
      </c>
      <c r="Y56" s="231"/>
      <c r="Z56" s="171"/>
      <c r="AA56" s="171"/>
      <c r="AB56" s="232"/>
      <c r="AC56" s="223"/>
      <c r="AD56" s="171"/>
      <c r="AE56" s="171"/>
      <c r="AF56" s="49"/>
      <c r="AG56" s="49"/>
      <c r="AH56" s="171"/>
      <c r="AI56" s="171"/>
      <c r="AJ56" s="49"/>
      <c r="AK56" s="171"/>
      <c r="AL56" s="171"/>
      <c r="AM56" s="49"/>
      <c r="AN56" s="49"/>
      <c r="AO56" s="171"/>
      <c r="AP56" s="171"/>
      <c r="AQ56" s="49"/>
      <c r="AR56" s="49"/>
      <c r="AS56" s="171"/>
      <c r="AT56" s="171"/>
      <c r="AU56" s="49"/>
    </row>
    <row r="57" spans="1:47" ht="13.5" thickBot="1">
      <c r="A57" s="330"/>
      <c r="B57" s="120"/>
      <c r="C57" s="297"/>
      <c r="D57" s="298"/>
      <c r="E57" s="123"/>
      <c r="F57" s="299">
        <f t="shared" si="0"/>
        <v>0</v>
      </c>
      <c r="G57" s="300">
        <f t="shared" si="1"/>
        <v>0</v>
      </c>
      <c r="H57" s="300">
        <f t="shared" si="2"/>
        <v>0</v>
      </c>
      <c r="I57" s="301"/>
      <c r="J57" s="302"/>
      <c r="K57" s="302"/>
      <c r="L57" s="301"/>
      <c r="M57" s="303"/>
      <c r="N57" s="304"/>
      <c r="O57" s="304"/>
      <c r="P57" s="303"/>
      <c r="Q57" s="305"/>
      <c r="R57" s="306"/>
      <c r="S57" s="306"/>
      <c r="T57" s="307"/>
      <c r="U57" s="308"/>
      <c r="V57" s="309"/>
      <c r="W57" s="309"/>
      <c r="X57" s="310"/>
      <c r="Y57" s="311"/>
      <c r="Z57" s="309"/>
      <c r="AA57" s="309"/>
      <c r="AB57" s="310"/>
      <c r="AC57" s="308"/>
      <c r="AD57" s="309"/>
      <c r="AE57" s="309"/>
      <c r="AF57" s="312"/>
      <c r="AG57" s="312"/>
      <c r="AH57" s="309"/>
      <c r="AI57" s="309"/>
      <c r="AJ57" s="312"/>
      <c r="AK57" s="309"/>
      <c r="AL57" s="309"/>
      <c r="AM57" s="312"/>
      <c r="AN57" s="312"/>
      <c r="AO57" s="309"/>
      <c r="AP57" s="309"/>
      <c r="AQ57" s="312"/>
      <c r="AR57" s="312"/>
      <c r="AS57" s="309"/>
      <c r="AT57" s="309"/>
      <c r="AU57" s="312"/>
    </row>
    <row r="58" spans="1:47" ht="13.5" thickBot="1">
      <c r="A58" s="339" t="s">
        <v>109</v>
      </c>
      <c r="B58" s="324"/>
      <c r="C58" s="21"/>
      <c r="D58" s="22"/>
      <c r="E58" s="325"/>
      <c r="F58" s="326">
        <f t="shared" si="0"/>
        <v>1183500</v>
      </c>
      <c r="G58" s="326">
        <f t="shared" si="1"/>
        <v>1183500</v>
      </c>
      <c r="H58" s="326">
        <f t="shared" si="2"/>
        <v>0</v>
      </c>
      <c r="I58" s="327"/>
      <c r="J58" s="327">
        <f>SUM(J59:J76)</f>
        <v>0</v>
      </c>
      <c r="K58" s="327">
        <f>SUM(K59:K76)</f>
        <v>0</v>
      </c>
      <c r="L58" s="327"/>
      <c r="M58" s="328"/>
      <c r="N58" s="328">
        <f>SUM(N59:N76)</f>
        <v>1183500</v>
      </c>
      <c r="O58" s="328">
        <f>SUM(O59:O76)</f>
        <v>0</v>
      </c>
      <c r="P58" s="328"/>
      <c r="Q58" s="329"/>
      <c r="R58" s="329">
        <f>SUM(R59:R76)</f>
        <v>0</v>
      </c>
      <c r="S58" s="329">
        <f>SUM(S59:S76)</f>
        <v>0</v>
      </c>
      <c r="T58" s="236"/>
      <c r="U58" s="225"/>
      <c r="V58" s="32">
        <f>SUM(V59:V76)</f>
        <v>0</v>
      </c>
      <c r="W58" s="32">
        <f>SUM(W59:W76)</f>
        <v>0</v>
      </c>
      <c r="X58" s="236"/>
      <c r="Y58" s="235"/>
      <c r="Z58" s="32">
        <f>SUM(Z59:Z76)</f>
        <v>0</v>
      </c>
      <c r="AA58" s="32">
        <f>SUM(AA59:AA76)</f>
        <v>0</v>
      </c>
      <c r="AB58" s="236"/>
      <c r="AC58" s="225"/>
      <c r="AD58" s="32">
        <f>SUM(AD59:AD76)</f>
        <v>0</v>
      </c>
      <c r="AE58" s="32">
        <f>SUM(AE59:AE76)</f>
        <v>0</v>
      </c>
      <c r="AF58" s="32"/>
      <c r="AG58" s="32"/>
      <c r="AH58" s="32">
        <f>SUM(AH59:AH76)</f>
        <v>0</v>
      </c>
      <c r="AI58" s="32">
        <f>SUM(AI59:AI76)</f>
        <v>0</v>
      </c>
      <c r="AJ58" s="32"/>
      <c r="AK58" s="32">
        <f>SUM(AK59:AK76)</f>
        <v>0</v>
      </c>
      <c r="AL58" s="32">
        <f>SUM(AL59:AL76)</f>
        <v>0</v>
      </c>
      <c r="AM58" s="32"/>
      <c r="AN58" s="32"/>
      <c r="AO58" s="32">
        <f>SUM(AO59:AO76)</f>
        <v>0</v>
      </c>
      <c r="AP58" s="32">
        <f>SUM(AP59:AP76)</f>
        <v>0</v>
      </c>
      <c r="AQ58" s="32"/>
      <c r="AR58" s="32"/>
      <c r="AS58" s="32">
        <f>SUM(AS59:AS76)</f>
        <v>0</v>
      </c>
      <c r="AT58" s="32">
        <f>SUM(AT59:AT76)</f>
        <v>0</v>
      </c>
      <c r="AU58" s="236"/>
    </row>
    <row r="59" spans="1:47" ht="12.75">
      <c r="A59" s="340" t="s">
        <v>155</v>
      </c>
      <c r="B59" s="160"/>
      <c r="C59" s="160" t="s">
        <v>66</v>
      </c>
      <c r="D59" s="341"/>
      <c r="E59" s="342"/>
      <c r="F59" s="343">
        <f t="shared" si="0"/>
        <v>0</v>
      </c>
      <c r="G59" s="174">
        <f t="shared" si="1"/>
        <v>0</v>
      </c>
      <c r="H59" s="174">
        <f t="shared" si="2"/>
        <v>0</v>
      </c>
      <c r="I59" s="316"/>
      <c r="J59" s="317"/>
      <c r="K59" s="317"/>
      <c r="L59" s="316"/>
      <c r="M59" s="318"/>
      <c r="N59" s="319">
        <v>0</v>
      </c>
      <c r="O59" s="319"/>
      <c r="P59" s="318"/>
      <c r="Q59" s="320"/>
      <c r="R59" s="321"/>
      <c r="S59" s="321"/>
      <c r="T59" s="322"/>
      <c r="U59" s="222"/>
      <c r="V59" s="173"/>
      <c r="W59" s="173"/>
      <c r="X59" s="230"/>
      <c r="Y59" s="344"/>
      <c r="Z59" s="173"/>
      <c r="AA59" s="173"/>
      <c r="AB59" s="230"/>
      <c r="AC59" s="222"/>
      <c r="AD59" s="173"/>
      <c r="AE59" s="173"/>
      <c r="AF59" s="172"/>
      <c r="AG59" s="172"/>
      <c r="AH59" s="173"/>
      <c r="AI59" s="173"/>
      <c r="AJ59" s="172"/>
      <c r="AK59" s="173"/>
      <c r="AL59" s="173"/>
      <c r="AM59" s="172"/>
      <c r="AN59" s="172"/>
      <c r="AO59" s="173"/>
      <c r="AP59" s="173"/>
      <c r="AQ59" s="172"/>
      <c r="AR59" s="172"/>
      <c r="AS59" s="173"/>
      <c r="AT59" s="173"/>
      <c r="AU59" s="172"/>
    </row>
    <row r="60" spans="1:47" ht="12.75">
      <c r="A60" s="287" t="s">
        <v>154</v>
      </c>
      <c r="B60" s="41"/>
      <c r="C60" s="41" t="s">
        <v>66</v>
      </c>
      <c r="D60" s="45"/>
      <c r="E60" s="48"/>
      <c r="F60" s="288">
        <f t="shared" si="0"/>
        <v>900000</v>
      </c>
      <c r="G60" s="241">
        <f t="shared" si="1"/>
        <v>900000</v>
      </c>
      <c r="H60" s="241">
        <f t="shared" si="2"/>
        <v>0</v>
      </c>
      <c r="I60" s="254"/>
      <c r="J60" s="1"/>
      <c r="K60" s="1"/>
      <c r="L60" s="254"/>
      <c r="M60" s="261" t="s">
        <v>291</v>
      </c>
      <c r="N60" s="257">
        <v>900000</v>
      </c>
      <c r="O60" s="257"/>
      <c r="P60" s="261" t="s">
        <v>292</v>
      </c>
      <c r="Q60" s="270"/>
      <c r="R60" s="264"/>
      <c r="S60" s="264"/>
      <c r="T60" s="266"/>
      <c r="U60" s="223"/>
      <c r="V60" s="171"/>
      <c r="W60" s="171"/>
      <c r="X60" s="232"/>
      <c r="Y60" s="231"/>
      <c r="Z60" s="171"/>
      <c r="AA60" s="171"/>
      <c r="AB60" s="232"/>
      <c r="AC60" s="223"/>
      <c r="AD60" s="171"/>
      <c r="AE60" s="171"/>
      <c r="AF60" s="49"/>
      <c r="AG60" s="49"/>
      <c r="AH60" s="171"/>
      <c r="AI60" s="171"/>
      <c r="AJ60" s="49"/>
      <c r="AK60" s="171"/>
      <c r="AL60" s="171"/>
      <c r="AM60" s="49"/>
      <c r="AN60" s="49"/>
      <c r="AO60" s="171"/>
      <c r="AP60" s="171"/>
      <c r="AQ60" s="49"/>
      <c r="AR60" s="49"/>
      <c r="AS60" s="171"/>
      <c r="AT60" s="171"/>
      <c r="AU60" s="49"/>
    </row>
    <row r="61" spans="1:47" ht="12.75">
      <c r="A61" s="287" t="s">
        <v>148</v>
      </c>
      <c r="B61" s="41"/>
      <c r="C61" s="41" t="s">
        <v>66</v>
      </c>
      <c r="D61" s="45"/>
      <c r="E61" s="48"/>
      <c r="F61" s="288">
        <f t="shared" si="0"/>
        <v>0</v>
      </c>
      <c r="G61" s="241">
        <f t="shared" si="1"/>
        <v>0</v>
      </c>
      <c r="H61" s="241">
        <f t="shared" si="2"/>
        <v>0</v>
      </c>
      <c r="I61" s="254"/>
      <c r="J61" s="1"/>
      <c r="K61" s="1"/>
      <c r="L61" s="254"/>
      <c r="M61" s="261"/>
      <c r="N61" s="257">
        <v>0</v>
      </c>
      <c r="O61" s="257"/>
      <c r="P61" s="261"/>
      <c r="Q61" s="270"/>
      <c r="R61" s="264"/>
      <c r="S61" s="264"/>
      <c r="T61" s="266"/>
      <c r="U61" s="223"/>
      <c r="V61" s="171"/>
      <c r="W61" s="171"/>
      <c r="X61" s="232"/>
      <c r="Y61" s="231"/>
      <c r="Z61" s="171"/>
      <c r="AA61" s="171"/>
      <c r="AB61" s="232"/>
      <c r="AC61" s="223"/>
      <c r="AD61" s="171"/>
      <c r="AE61" s="171"/>
      <c r="AF61" s="49"/>
      <c r="AG61" s="49"/>
      <c r="AH61" s="171"/>
      <c r="AI61" s="171"/>
      <c r="AJ61" s="49"/>
      <c r="AK61" s="171"/>
      <c r="AL61" s="171"/>
      <c r="AM61" s="49"/>
      <c r="AN61" s="49"/>
      <c r="AO61" s="171"/>
      <c r="AP61" s="171"/>
      <c r="AQ61" s="49"/>
      <c r="AR61" s="49"/>
      <c r="AS61" s="171"/>
      <c r="AT61" s="171"/>
      <c r="AU61" s="49"/>
    </row>
    <row r="62" spans="1:47" ht="12.75">
      <c r="A62" s="287" t="s">
        <v>124</v>
      </c>
      <c r="B62" s="41"/>
      <c r="C62" s="41" t="s">
        <v>67</v>
      </c>
      <c r="D62" s="45"/>
      <c r="E62" s="48"/>
      <c r="F62" s="288">
        <f t="shared" si="0"/>
        <v>0</v>
      </c>
      <c r="G62" s="241">
        <f t="shared" si="1"/>
        <v>0</v>
      </c>
      <c r="H62" s="241">
        <f t="shared" si="2"/>
        <v>0</v>
      </c>
      <c r="I62" s="254"/>
      <c r="J62" s="1"/>
      <c r="K62" s="1"/>
      <c r="L62" s="254"/>
      <c r="M62" s="261"/>
      <c r="N62" s="257">
        <v>0</v>
      </c>
      <c r="O62" s="257"/>
      <c r="P62" s="261"/>
      <c r="Q62" s="270"/>
      <c r="R62" s="264"/>
      <c r="S62" s="264"/>
      <c r="T62" s="266"/>
      <c r="U62" s="223"/>
      <c r="V62" s="171"/>
      <c r="W62" s="171"/>
      <c r="X62" s="232"/>
      <c r="Y62" s="231"/>
      <c r="Z62" s="171"/>
      <c r="AA62" s="171"/>
      <c r="AB62" s="232"/>
      <c r="AC62" s="223"/>
      <c r="AD62" s="171"/>
      <c r="AE62" s="171"/>
      <c r="AF62" s="49"/>
      <c r="AG62" s="49"/>
      <c r="AH62" s="171"/>
      <c r="AI62" s="171"/>
      <c r="AJ62" s="49"/>
      <c r="AK62" s="171"/>
      <c r="AL62" s="171"/>
      <c r="AM62" s="49"/>
      <c r="AN62" s="49"/>
      <c r="AO62" s="171"/>
      <c r="AP62" s="171"/>
      <c r="AQ62" s="49"/>
      <c r="AR62" s="49"/>
      <c r="AS62" s="171"/>
      <c r="AT62" s="171"/>
      <c r="AU62" s="49"/>
    </row>
    <row r="63" spans="1:47" ht="12.75">
      <c r="A63" s="287" t="s">
        <v>164</v>
      </c>
      <c r="B63" s="41"/>
      <c r="C63" s="41" t="s">
        <v>65</v>
      </c>
      <c r="D63" s="45"/>
      <c r="E63" s="48"/>
      <c r="F63" s="288">
        <f t="shared" si="0"/>
        <v>0</v>
      </c>
      <c r="G63" s="241">
        <f t="shared" si="1"/>
        <v>0</v>
      </c>
      <c r="H63" s="241">
        <f t="shared" si="2"/>
        <v>0</v>
      </c>
      <c r="I63" s="254"/>
      <c r="J63" s="1"/>
      <c r="K63" s="1"/>
      <c r="L63" s="254"/>
      <c r="M63" s="261"/>
      <c r="N63" s="257">
        <v>0</v>
      </c>
      <c r="O63" s="257"/>
      <c r="P63" s="261"/>
      <c r="Q63" s="270"/>
      <c r="R63" s="264"/>
      <c r="S63" s="264"/>
      <c r="T63" s="266"/>
      <c r="U63" s="223"/>
      <c r="V63" s="171"/>
      <c r="W63" s="171"/>
      <c r="X63" s="232"/>
      <c r="Y63" s="231"/>
      <c r="Z63" s="171"/>
      <c r="AA63" s="171"/>
      <c r="AB63" s="232"/>
      <c r="AC63" s="223"/>
      <c r="AD63" s="171"/>
      <c r="AE63" s="171"/>
      <c r="AF63" s="49"/>
      <c r="AG63" s="49"/>
      <c r="AH63" s="171"/>
      <c r="AI63" s="171"/>
      <c r="AJ63" s="49"/>
      <c r="AK63" s="171"/>
      <c r="AL63" s="171"/>
      <c r="AM63" s="49"/>
      <c r="AN63" s="49"/>
      <c r="AO63" s="171"/>
      <c r="AP63" s="171"/>
      <c r="AQ63" s="49"/>
      <c r="AR63" s="49"/>
      <c r="AS63" s="171"/>
      <c r="AT63" s="171"/>
      <c r="AU63" s="49"/>
    </row>
    <row r="64" spans="1:47" ht="12.75">
      <c r="A64" s="287" t="s">
        <v>165</v>
      </c>
      <c r="B64" s="41"/>
      <c r="C64" s="41" t="s">
        <v>65</v>
      </c>
      <c r="D64" s="45"/>
      <c r="E64" s="48"/>
      <c r="F64" s="288">
        <f t="shared" si="0"/>
        <v>0</v>
      </c>
      <c r="G64" s="241">
        <f t="shared" si="1"/>
        <v>0</v>
      </c>
      <c r="H64" s="241">
        <f t="shared" si="2"/>
        <v>0</v>
      </c>
      <c r="I64" s="254"/>
      <c r="J64" s="1"/>
      <c r="K64" s="1"/>
      <c r="L64" s="254"/>
      <c r="M64" s="261"/>
      <c r="N64" s="257">
        <v>0</v>
      </c>
      <c r="O64" s="257"/>
      <c r="P64" s="261"/>
      <c r="Q64" s="270"/>
      <c r="R64" s="264"/>
      <c r="S64" s="264"/>
      <c r="T64" s="266"/>
      <c r="U64" s="223"/>
      <c r="V64" s="171"/>
      <c r="W64" s="171"/>
      <c r="X64" s="232"/>
      <c r="Y64" s="231"/>
      <c r="Z64" s="171"/>
      <c r="AA64" s="171"/>
      <c r="AB64" s="232"/>
      <c r="AC64" s="223"/>
      <c r="AD64" s="171"/>
      <c r="AE64" s="171"/>
      <c r="AF64" s="49"/>
      <c r="AG64" s="49"/>
      <c r="AH64" s="171"/>
      <c r="AI64" s="171"/>
      <c r="AJ64" s="49"/>
      <c r="AK64" s="171"/>
      <c r="AL64" s="171"/>
      <c r="AM64" s="49"/>
      <c r="AN64" s="49"/>
      <c r="AO64" s="171"/>
      <c r="AP64" s="171"/>
      <c r="AQ64" s="49"/>
      <c r="AR64" s="49"/>
      <c r="AS64" s="171"/>
      <c r="AT64" s="171"/>
      <c r="AU64" s="49"/>
    </row>
    <row r="65" spans="1:47" ht="25.5">
      <c r="A65" s="287" t="s">
        <v>158</v>
      </c>
      <c r="B65" s="41"/>
      <c r="C65" s="41" t="s">
        <v>8</v>
      </c>
      <c r="D65" s="42"/>
      <c r="E65" s="43"/>
      <c r="F65" s="289">
        <f t="shared" si="0"/>
        <v>0</v>
      </c>
      <c r="G65" s="241">
        <f t="shared" si="1"/>
        <v>0</v>
      </c>
      <c r="H65" s="241">
        <f t="shared" si="2"/>
        <v>0</v>
      </c>
      <c r="I65" s="254"/>
      <c r="J65" s="1"/>
      <c r="K65" s="1"/>
      <c r="L65" s="254"/>
      <c r="M65" s="261"/>
      <c r="N65" s="257">
        <v>0</v>
      </c>
      <c r="O65" s="257"/>
      <c r="P65" s="261"/>
      <c r="Q65" s="270"/>
      <c r="R65" s="264"/>
      <c r="S65" s="264"/>
      <c r="T65" s="266"/>
      <c r="U65" s="223"/>
      <c r="V65" s="171"/>
      <c r="W65" s="171"/>
      <c r="X65" s="232"/>
      <c r="Y65" s="231"/>
      <c r="Z65" s="171"/>
      <c r="AA65" s="171"/>
      <c r="AB65" s="232"/>
      <c r="AC65" s="223"/>
      <c r="AD65" s="171"/>
      <c r="AE65" s="171"/>
      <c r="AF65" s="49"/>
      <c r="AG65" s="49"/>
      <c r="AH65" s="171"/>
      <c r="AI65" s="171"/>
      <c r="AJ65" s="49"/>
      <c r="AK65" s="171"/>
      <c r="AL65" s="171"/>
      <c r="AM65" s="49"/>
      <c r="AN65" s="49"/>
      <c r="AO65" s="171"/>
      <c r="AP65" s="171"/>
      <c r="AQ65" s="49"/>
      <c r="AR65" s="49"/>
      <c r="AS65" s="171"/>
      <c r="AT65" s="171"/>
      <c r="AU65" s="49"/>
    </row>
    <row r="66" spans="1:47" ht="12.75">
      <c r="A66" s="287" t="s">
        <v>157</v>
      </c>
      <c r="B66" s="41"/>
      <c r="C66" s="41" t="s">
        <v>66</v>
      </c>
      <c r="D66" s="42"/>
      <c r="E66" s="43"/>
      <c r="F66" s="289">
        <f t="shared" si="0"/>
        <v>210000</v>
      </c>
      <c r="G66" s="241">
        <f t="shared" si="1"/>
        <v>210000</v>
      </c>
      <c r="H66" s="241">
        <f t="shared" si="2"/>
        <v>0</v>
      </c>
      <c r="I66" s="254"/>
      <c r="J66" s="1"/>
      <c r="K66" s="1"/>
      <c r="L66" s="254"/>
      <c r="M66" s="261" t="s">
        <v>293</v>
      </c>
      <c r="N66" s="257">
        <v>210000</v>
      </c>
      <c r="O66" s="257"/>
      <c r="P66" s="261"/>
      <c r="Q66" s="270"/>
      <c r="R66" s="264"/>
      <c r="S66" s="264"/>
      <c r="T66" s="266"/>
      <c r="U66" s="223"/>
      <c r="V66" s="171"/>
      <c r="W66" s="171"/>
      <c r="X66" s="232"/>
      <c r="Y66" s="231"/>
      <c r="Z66" s="171"/>
      <c r="AA66" s="171"/>
      <c r="AB66" s="232"/>
      <c r="AC66" s="223"/>
      <c r="AD66" s="171"/>
      <c r="AE66" s="171"/>
      <c r="AF66" s="49"/>
      <c r="AG66" s="49"/>
      <c r="AH66" s="171"/>
      <c r="AI66" s="171"/>
      <c r="AJ66" s="49"/>
      <c r="AK66" s="171"/>
      <c r="AL66" s="171"/>
      <c r="AM66" s="49"/>
      <c r="AN66" s="49"/>
      <c r="AO66" s="171"/>
      <c r="AP66" s="171"/>
      <c r="AQ66" s="49"/>
      <c r="AR66" s="49"/>
      <c r="AS66" s="171"/>
      <c r="AT66" s="171"/>
      <c r="AU66" s="49"/>
    </row>
    <row r="67" spans="1:47" ht="12.75">
      <c r="A67" s="287" t="s">
        <v>149</v>
      </c>
      <c r="B67" s="41"/>
      <c r="C67" s="41" t="s">
        <v>66</v>
      </c>
      <c r="D67" s="42"/>
      <c r="E67" s="43"/>
      <c r="F67" s="289">
        <f t="shared" si="0"/>
        <v>0</v>
      </c>
      <c r="G67" s="241">
        <f t="shared" si="1"/>
        <v>0</v>
      </c>
      <c r="H67" s="241">
        <f t="shared" si="2"/>
        <v>0</v>
      </c>
      <c r="I67" s="254"/>
      <c r="J67" s="1"/>
      <c r="K67" s="1"/>
      <c r="L67" s="254"/>
      <c r="M67" s="261"/>
      <c r="N67" s="257">
        <v>0</v>
      </c>
      <c r="O67" s="257"/>
      <c r="P67" s="261"/>
      <c r="Q67" s="270"/>
      <c r="R67" s="264"/>
      <c r="S67" s="264"/>
      <c r="T67" s="266"/>
      <c r="U67" s="223"/>
      <c r="V67" s="171"/>
      <c r="W67" s="171"/>
      <c r="X67" s="232"/>
      <c r="Y67" s="231"/>
      <c r="Z67" s="171"/>
      <c r="AA67" s="171"/>
      <c r="AB67" s="232"/>
      <c r="AC67" s="223"/>
      <c r="AD67" s="171"/>
      <c r="AE67" s="171"/>
      <c r="AF67" s="49"/>
      <c r="AG67" s="49"/>
      <c r="AH67" s="171"/>
      <c r="AI67" s="171"/>
      <c r="AJ67" s="49"/>
      <c r="AK67" s="171"/>
      <c r="AL67" s="171"/>
      <c r="AM67" s="49"/>
      <c r="AN67" s="49"/>
      <c r="AO67" s="171"/>
      <c r="AP67" s="171"/>
      <c r="AQ67" s="49"/>
      <c r="AR67" s="49"/>
      <c r="AS67" s="171"/>
      <c r="AT67" s="171"/>
      <c r="AU67" s="49"/>
    </row>
    <row r="68" spans="1:47" ht="12.75">
      <c r="A68" s="287" t="s">
        <v>78</v>
      </c>
      <c r="B68" s="41"/>
      <c r="C68" s="41" t="s">
        <v>66</v>
      </c>
      <c r="D68" s="42"/>
      <c r="E68" s="43"/>
      <c r="F68" s="289">
        <f t="shared" si="0"/>
        <v>36000</v>
      </c>
      <c r="G68" s="241">
        <f t="shared" si="1"/>
        <v>36000</v>
      </c>
      <c r="H68" s="241">
        <f t="shared" si="2"/>
        <v>0</v>
      </c>
      <c r="I68" s="254"/>
      <c r="J68" s="1"/>
      <c r="K68" s="1"/>
      <c r="L68" s="254"/>
      <c r="M68" s="261" t="s">
        <v>294</v>
      </c>
      <c r="N68" s="257">
        <v>36000</v>
      </c>
      <c r="O68" s="257"/>
      <c r="P68" s="261"/>
      <c r="Q68" s="270"/>
      <c r="R68" s="264"/>
      <c r="S68" s="264"/>
      <c r="T68" s="266"/>
      <c r="U68" s="223"/>
      <c r="V68" s="171"/>
      <c r="W68" s="171"/>
      <c r="X68" s="232"/>
      <c r="Y68" s="231"/>
      <c r="Z68" s="171"/>
      <c r="AA68" s="171"/>
      <c r="AB68" s="232"/>
      <c r="AC68" s="223"/>
      <c r="AD68" s="171"/>
      <c r="AE68" s="171"/>
      <c r="AF68" s="49"/>
      <c r="AG68" s="49"/>
      <c r="AH68" s="171"/>
      <c r="AI68" s="171"/>
      <c r="AJ68" s="49"/>
      <c r="AK68" s="171"/>
      <c r="AL68" s="171"/>
      <c r="AM68" s="49"/>
      <c r="AN68" s="49"/>
      <c r="AO68" s="171"/>
      <c r="AP68" s="171"/>
      <c r="AQ68" s="49"/>
      <c r="AR68" s="49"/>
      <c r="AS68" s="171"/>
      <c r="AT68" s="171"/>
      <c r="AU68" s="49"/>
    </row>
    <row r="69" spans="1:47" ht="12.75">
      <c r="A69" s="47" t="s">
        <v>64</v>
      </c>
      <c r="B69" s="41"/>
      <c r="C69" s="41" t="s">
        <v>13</v>
      </c>
      <c r="D69" s="42"/>
      <c r="E69" s="43"/>
      <c r="F69" s="289">
        <f t="shared" si="0"/>
        <v>0</v>
      </c>
      <c r="G69" s="241">
        <f t="shared" si="1"/>
        <v>0</v>
      </c>
      <c r="H69" s="241">
        <f t="shared" si="2"/>
        <v>0</v>
      </c>
      <c r="I69" s="254"/>
      <c r="J69" s="1"/>
      <c r="K69" s="1"/>
      <c r="L69" s="254"/>
      <c r="M69" s="261"/>
      <c r="N69" s="257">
        <v>0</v>
      </c>
      <c r="O69" s="257"/>
      <c r="P69" s="261"/>
      <c r="Q69" s="270"/>
      <c r="R69" s="264"/>
      <c r="S69" s="264"/>
      <c r="T69" s="266"/>
      <c r="U69" s="223"/>
      <c r="V69" s="171"/>
      <c r="W69" s="171"/>
      <c r="X69" s="232"/>
      <c r="Y69" s="231"/>
      <c r="Z69" s="171"/>
      <c r="AA69" s="171"/>
      <c r="AB69" s="232"/>
      <c r="AC69" s="223"/>
      <c r="AD69" s="171"/>
      <c r="AE69" s="171"/>
      <c r="AF69" s="49"/>
      <c r="AG69" s="49"/>
      <c r="AH69" s="171"/>
      <c r="AI69" s="171"/>
      <c r="AJ69" s="49"/>
      <c r="AK69" s="171"/>
      <c r="AL69" s="171"/>
      <c r="AM69" s="49"/>
      <c r="AN69" s="49"/>
      <c r="AO69" s="171"/>
      <c r="AP69" s="171"/>
      <c r="AQ69" s="49"/>
      <c r="AR69" s="49"/>
      <c r="AS69" s="171"/>
      <c r="AT69" s="171"/>
      <c r="AU69" s="49"/>
    </row>
    <row r="70" spans="1:47" ht="12.75">
      <c r="A70" s="287" t="s">
        <v>150</v>
      </c>
      <c r="B70" s="41"/>
      <c r="C70" s="41" t="s">
        <v>14</v>
      </c>
      <c r="D70" s="42"/>
      <c r="E70" s="43"/>
      <c r="F70" s="289">
        <f t="shared" si="0"/>
        <v>0</v>
      </c>
      <c r="G70" s="241">
        <f t="shared" si="1"/>
        <v>0</v>
      </c>
      <c r="H70" s="241">
        <f t="shared" si="2"/>
        <v>0</v>
      </c>
      <c r="I70" s="254"/>
      <c r="J70" s="1"/>
      <c r="K70" s="1"/>
      <c r="L70" s="254"/>
      <c r="M70" s="261"/>
      <c r="N70" s="257">
        <v>0</v>
      </c>
      <c r="O70" s="257"/>
      <c r="P70" s="261"/>
      <c r="Q70" s="270"/>
      <c r="R70" s="264"/>
      <c r="S70" s="264"/>
      <c r="T70" s="266"/>
      <c r="U70" s="223"/>
      <c r="V70" s="171"/>
      <c r="W70" s="171"/>
      <c r="X70" s="232"/>
      <c r="Y70" s="231"/>
      <c r="Z70" s="171"/>
      <c r="AA70" s="171"/>
      <c r="AB70" s="232"/>
      <c r="AC70" s="223"/>
      <c r="AD70" s="171"/>
      <c r="AE70" s="171"/>
      <c r="AF70" s="49"/>
      <c r="AG70" s="49"/>
      <c r="AH70" s="171"/>
      <c r="AI70" s="171"/>
      <c r="AJ70" s="49"/>
      <c r="AK70" s="171"/>
      <c r="AL70" s="171"/>
      <c r="AM70" s="49"/>
      <c r="AN70" s="49"/>
      <c r="AO70" s="171"/>
      <c r="AP70" s="171"/>
      <c r="AQ70" s="49"/>
      <c r="AR70" s="49"/>
      <c r="AS70" s="171"/>
      <c r="AT70" s="171"/>
      <c r="AU70" s="49"/>
    </row>
    <row r="71" spans="1:47" ht="25.5">
      <c r="A71" s="287" t="s">
        <v>196</v>
      </c>
      <c r="B71" s="41"/>
      <c r="C71" s="41" t="s">
        <v>80</v>
      </c>
      <c r="D71" s="42"/>
      <c r="E71" s="43"/>
      <c r="F71" s="289">
        <f t="shared" si="0"/>
        <v>31500</v>
      </c>
      <c r="G71" s="241">
        <f t="shared" si="1"/>
        <v>31500</v>
      </c>
      <c r="H71" s="241">
        <f t="shared" si="2"/>
        <v>0</v>
      </c>
      <c r="I71" s="254"/>
      <c r="J71" s="1"/>
      <c r="K71" s="1"/>
      <c r="L71" s="254"/>
      <c r="M71" s="261" t="s">
        <v>295</v>
      </c>
      <c r="N71" s="257">
        <v>31500</v>
      </c>
      <c r="O71" s="257"/>
      <c r="P71" s="261"/>
      <c r="Q71" s="270"/>
      <c r="R71" s="264"/>
      <c r="S71" s="264"/>
      <c r="T71" s="266"/>
      <c r="U71" s="223"/>
      <c r="V71" s="171"/>
      <c r="W71" s="171"/>
      <c r="X71" s="232"/>
      <c r="Y71" s="231"/>
      <c r="Z71" s="171"/>
      <c r="AA71" s="171"/>
      <c r="AB71" s="232"/>
      <c r="AC71" s="223"/>
      <c r="AD71" s="171"/>
      <c r="AE71" s="171"/>
      <c r="AF71" s="49"/>
      <c r="AG71" s="49"/>
      <c r="AH71" s="171"/>
      <c r="AI71" s="171"/>
      <c r="AJ71" s="49"/>
      <c r="AK71" s="171"/>
      <c r="AL71" s="171"/>
      <c r="AM71" s="49"/>
      <c r="AN71" s="49"/>
      <c r="AO71" s="171"/>
      <c r="AP71" s="171"/>
      <c r="AQ71" s="49"/>
      <c r="AR71" s="49"/>
      <c r="AS71" s="171"/>
      <c r="AT71" s="171"/>
      <c r="AU71" s="49"/>
    </row>
    <row r="72" spans="1:47" ht="12.75">
      <c r="A72" s="287" t="s">
        <v>81</v>
      </c>
      <c r="B72" s="41"/>
      <c r="C72" s="41" t="s">
        <v>11</v>
      </c>
      <c r="D72" s="42"/>
      <c r="E72" s="43"/>
      <c r="F72" s="289">
        <f t="shared" si="0"/>
        <v>6000</v>
      </c>
      <c r="G72" s="241">
        <f t="shared" si="1"/>
        <v>6000</v>
      </c>
      <c r="H72" s="241">
        <f t="shared" si="2"/>
        <v>0</v>
      </c>
      <c r="I72" s="254"/>
      <c r="J72" s="1"/>
      <c r="K72" s="1"/>
      <c r="L72" s="254"/>
      <c r="M72" s="261" t="s">
        <v>296</v>
      </c>
      <c r="N72" s="257">
        <v>6000</v>
      </c>
      <c r="O72" s="257"/>
      <c r="P72" s="261"/>
      <c r="Q72" s="270"/>
      <c r="R72" s="264"/>
      <c r="S72" s="264"/>
      <c r="T72" s="266"/>
      <c r="U72" s="223"/>
      <c r="V72" s="171"/>
      <c r="W72" s="171"/>
      <c r="X72" s="232"/>
      <c r="Y72" s="231"/>
      <c r="Z72" s="171"/>
      <c r="AA72" s="171"/>
      <c r="AB72" s="232"/>
      <c r="AC72" s="223"/>
      <c r="AD72" s="171"/>
      <c r="AE72" s="171"/>
      <c r="AF72" s="49"/>
      <c r="AG72" s="49"/>
      <c r="AH72" s="171"/>
      <c r="AI72" s="171"/>
      <c r="AJ72" s="49"/>
      <c r="AK72" s="171"/>
      <c r="AL72" s="171"/>
      <c r="AM72" s="49"/>
      <c r="AN72" s="49"/>
      <c r="AO72" s="171"/>
      <c r="AP72" s="171"/>
      <c r="AQ72" s="49"/>
      <c r="AR72" s="49"/>
      <c r="AS72" s="171"/>
      <c r="AT72" s="171"/>
      <c r="AU72" s="49"/>
    </row>
    <row r="73" spans="1:47" ht="25.5">
      <c r="A73" s="287" t="s">
        <v>82</v>
      </c>
      <c r="B73" s="41"/>
      <c r="C73" s="41" t="s">
        <v>8</v>
      </c>
      <c r="D73" s="42"/>
      <c r="E73" s="43"/>
      <c r="F73" s="289">
        <f aca="true" t="shared" si="3" ref="F73:F82">G73+H73</f>
        <v>0</v>
      </c>
      <c r="G73" s="241">
        <f aca="true" t="shared" si="4" ref="G73:G78">J73+N73+R73</f>
        <v>0</v>
      </c>
      <c r="H73" s="241">
        <f aca="true" t="shared" si="5" ref="H73:H78">K73+O73+S73</f>
        <v>0</v>
      </c>
      <c r="I73" s="254"/>
      <c r="J73" s="1"/>
      <c r="K73" s="1"/>
      <c r="L73" s="254"/>
      <c r="M73" s="261"/>
      <c r="N73" s="257">
        <v>0</v>
      </c>
      <c r="O73" s="257"/>
      <c r="P73" s="261"/>
      <c r="Q73" s="270"/>
      <c r="R73" s="264"/>
      <c r="S73" s="264"/>
      <c r="T73" s="266"/>
      <c r="U73" s="223"/>
      <c r="V73" s="171"/>
      <c r="W73" s="171"/>
      <c r="X73" s="232"/>
      <c r="Y73" s="231"/>
      <c r="Z73" s="171"/>
      <c r="AA73" s="171"/>
      <c r="AB73" s="232"/>
      <c r="AC73" s="223"/>
      <c r="AD73" s="171"/>
      <c r="AE73" s="171"/>
      <c r="AF73" s="49"/>
      <c r="AG73" s="49"/>
      <c r="AH73" s="171"/>
      <c r="AI73" s="171"/>
      <c r="AJ73" s="49"/>
      <c r="AK73" s="171"/>
      <c r="AL73" s="171"/>
      <c r="AM73" s="49"/>
      <c r="AN73" s="49"/>
      <c r="AO73" s="171"/>
      <c r="AP73" s="171"/>
      <c r="AQ73" s="49"/>
      <c r="AR73" s="49"/>
      <c r="AS73" s="171"/>
      <c r="AT73" s="171"/>
      <c r="AU73" s="49"/>
    </row>
    <row r="74" spans="1:47" ht="12.75">
      <c r="A74" s="47" t="s">
        <v>83</v>
      </c>
      <c r="B74" s="41"/>
      <c r="C74" s="41" t="s">
        <v>65</v>
      </c>
      <c r="D74" s="42"/>
      <c r="E74" s="43"/>
      <c r="F74" s="289">
        <f t="shared" si="3"/>
        <v>0</v>
      </c>
      <c r="G74" s="241">
        <f t="shared" si="4"/>
        <v>0</v>
      </c>
      <c r="H74" s="241">
        <f t="shared" si="5"/>
        <v>0</v>
      </c>
      <c r="I74" s="254"/>
      <c r="J74" s="1"/>
      <c r="K74" s="1"/>
      <c r="L74" s="254"/>
      <c r="M74" s="261"/>
      <c r="N74" s="257">
        <v>0</v>
      </c>
      <c r="O74" s="257"/>
      <c r="P74" s="261"/>
      <c r="Q74" s="270"/>
      <c r="R74" s="264"/>
      <c r="S74" s="264"/>
      <c r="T74" s="266"/>
      <c r="U74" s="223"/>
      <c r="V74" s="171"/>
      <c r="W74" s="171"/>
      <c r="X74" s="232"/>
      <c r="Y74" s="231"/>
      <c r="Z74" s="171"/>
      <c r="AA74" s="171"/>
      <c r="AB74" s="232"/>
      <c r="AC74" s="223"/>
      <c r="AD74" s="171"/>
      <c r="AE74" s="171"/>
      <c r="AF74" s="49"/>
      <c r="AG74" s="49"/>
      <c r="AH74" s="171"/>
      <c r="AI74" s="171"/>
      <c r="AJ74" s="49"/>
      <c r="AK74" s="171"/>
      <c r="AL74" s="171"/>
      <c r="AM74" s="49"/>
      <c r="AN74" s="49"/>
      <c r="AO74" s="171"/>
      <c r="AP74" s="171"/>
      <c r="AQ74" s="49"/>
      <c r="AR74" s="49"/>
      <c r="AS74" s="171"/>
      <c r="AT74" s="171"/>
      <c r="AU74" s="49"/>
    </row>
    <row r="75" spans="1:47" ht="12.75">
      <c r="A75" s="47" t="s">
        <v>84</v>
      </c>
      <c r="B75" s="47"/>
      <c r="C75" s="47" t="s">
        <v>65</v>
      </c>
      <c r="D75" s="47"/>
      <c r="E75" s="47"/>
      <c r="F75" s="47">
        <f t="shared" si="3"/>
        <v>0</v>
      </c>
      <c r="G75" s="241">
        <f t="shared" si="4"/>
        <v>0</v>
      </c>
      <c r="H75" s="241">
        <f t="shared" si="5"/>
        <v>0</v>
      </c>
      <c r="I75" s="255"/>
      <c r="J75" s="255"/>
      <c r="K75" s="255"/>
      <c r="L75" s="255"/>
      <c r="M75" s="262"/>
      <c r="N75" s="262">
        <v>0</v>
      </c>
      <c r="O75" s="262"/>
      <c r="P75" s="262"/>
      <c r="Q75" s="271"/>
      <c r="R75" s="271"/>
      <c r="S75" s="271"/>
      <c r="T75" s="272"/>
      <c r="U75" s="226"/>
      <c r="V75" s="47"/>
      <c r="W75" s="47"/>
      <c r="X75" s="238"/>
      <c r="Y75" s="237"/>
      <c r="Z75" s="47"/>
      <c r="AA75" s="47"/>
      <c r="AB75" s="238"/>
      <c r="AC75" s="226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</row>
    <row r="76" spans="1:47" ht="12.75">
      <c r="A76" s="47"/>
      <c r="B76" s="47"/>
      <c r="C76" s="47"/>
      <c r="D76" s="47"/>
      <c r="E76" s="47"/>
      <c r="F76" s="47">
        <f t="shared" si="3"/>
        <v>0</v>
      </c>
      <c r="G76" s="241">
        <f t="shared" si="4"/>
        <v>0</v>
      </c>
      <c r="H76" s="241">
        <f t="shared" si="5"/>
        <v>0</v>
      </c>
      <c r="I76" s="255"/>
      <c r="J76" s="255"/>
      <c r="K76" s="255"/>
      <c r="L76" s="255"/>
      <c r="M76" s="262"/>
      <c r="N76" s="262"/>
      <c r="O76" s="262"/>
      <c r="P76" s="262"/>
      <c r="Q76" s="271"/>
      <c r="R76" s="271"/>
      <c r="S76" s="271"/>
      <c r="T76" s="272"/>
      <c r="U76" s="226"/>
      <c r="V76" s="47"/>
      <c r="W76" s="47"/>
      <c r="X76" s="238"/>
      <c r="Y76" s="237"/>
      <c r="Z76" s="47"/>
      <c r="AA76" s="47"/>
      <c r="AB76" s="238"/>
      <c r="AC76" s="226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</row>
    <row r="77" spans="1:47" ht="13.5" thickBot="1">
      <c r="A77" s="345"/>
      <c r="B77" s="345"/>
      <c r="C77" s="345"/>
      <c r="D77" s="345"/>
      <c r="E77" s="345"/>
      <c r="F77" s="345">
        <f t="shared" si="3"/>
        <v>0</v>
      </c>
      <c r="G77" s="300">
        <f t="shared" si="4"/>
        <v>0</v>
      </c>
      <c r="H77" s="300">
        <f t="shared" si="5"/>
        <v>0</v>
      </c>
      <c r="I77" s="346"/>
      <c r="J77" s="346"/>
      <c r="K77" s="346"/>
      <c r="L77" s="346"/>
      <c r="M77" s="347"/>
      <c r="N77" s="347"/>
      <c r="O77" s="347"/>
      <c r="P77" s="347"/>
      <c r="Q77" s="348"/>
      <c r="R77" s="348"/>
      <c r="S77" s="348"/>
      <c r="T77" s="349"/>
      <c r="U77" s="350"/>
      <c r="V77" s="345"/>
      <c r="W77" s="345"/>
      <c r="X77" s="351"/>
      <c r="Y77" s="352"/>
      <c r="Z77" s="345"/>
      <c r="AA77" s="345"/>
      <c r="AB77" s="351"/>
      <c r="AC77" s="350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</row>
    <row r="78" spans="1:47" ht="26.25" customHeight="1" thickBot="1">
      <c r="A78" s="339" t="s">
        <v>341</v>
      </c>
      <c r="B78" s="357"/>
      <c r="C78" s="21"/>
      <c r="D78" s="22"/>
      <c r="E78" s="358"/>
      <c r="F78" s="326">
        <f t="shared" si="3"/>
        <v>177421.25</v>
      </c>
      <c r="G78" s="326">
        <f t="shared" si="4"/>
        <v>59175</v>
      </c>
      <c r="H78" s="326">
        <f t="shared" si="5"/>
        <v>118246.25</v>
      </c>
      <c r="I78" s="327"/>
      <c r="J78" s="327">
        <f>(J58+J41+J21+J7)*5/100</f>
        <v>0</v>
      </c>
      <c r="K78" s="327">
        <f>(K58+K41+K21+K7)*5/100</f>
        <v>46246.25</v>
      </c>
      <c r="L78" s="327"/>
      <c r="M78" s="328"/>
      <c r="N78" s="328">
        <f>(N58+N41+N21+N7)*5/100</f>
        <v>59175</v>
      </c>
      <c r="O78" s="328">
        <f>(O58+O41+O21+O7)*5/100</f>
        <v>0</v>
      </c>
      <c r="P78" s="328"/>
      <c r="Q78" s="329"/>
      <c r="R78" s="329">
        <f>(R58+R41+R21+R7)*5/100</f>
        <v>0</v>
      </c>
      <c r="S78" s="329">
        <f>(S58+S41+S21+S7)*5/100</f>
        <v>72000</v>
      </c>
      <c r="T78" s="236"/>
      <c r="U78" s="225"/>
      <c r="V78" s="32">
        <f>(V58+V41+V21+V7)*5/100</f>
        <v>0</v>
      </c>
      <c r="W78" s="32">
        <f>(W58+W41+W21+W7)*5/100</f>
        <v>7867</v>
      </c>
      <c r="X78" s="236"/>
      <c r="Y78" s="235"/>
      <c r="Z78" s="32">
        <f>(Z58+Z41+Z21+Z7)*5/100</f>
        <v>0</v>
      </c>
      <c r="AA78" s="32">
        <f>(AA58+AA41+AA21+AA7)*5/100</f>
        <v>16450</v>
      </c>
      <c r="AB78" s="236"/>
      <c r="AC78" s="225"/>
      <c r="AD78" s="32">
        <f>(AD58+AD41+AD21+AD7)*5/100</f>
        <v>0</v>
      </c>
      <c r="AE78" s="32">
        <f>(AE58+AE41+AE21+AE7)*5/100</f>
        <v>350000</v>
      </c>
      <c r="AF78" s="32"/>
      <c r="AG78" s="32"/>
      <c r="AH78" s="32">
        <f>(AH58+AH41+AH21+AH7)*5/100</f>
        <v>0</v>
      </c>
      <c r="AI78" s="32">
        <f>(AI58+AI41+AI21+AI7)*5/100</f>
        <v>0</v>
      </c>
      <c r="AJ78" s="32"/>
      <c r="AK78" s="32">
        <f>(AK58+AK41+AK21+AK7)*5/100</f>
        <v>0</v>
      </c>
      <c r="AL78" s="32">
        <f>(AL58+AL41+AL21+AL7)*5/100</f>
        <v>0</v>
      </c>
      <c r="AM78" s="32"/>
      <c r="AN78" s="32"/>
      <c r="AO78" s="32">
        <f>(AO58+AO41+AO21+AO7)*5/100</f>
        <v>0</v>
      </c>
      <c r="AP78" s="32">
        <f>(AP58+AP41+AP21+AP7)*5/100</f>
        <v>0</v>
      </c>
      <c r="AQ78" s="32"/>
      <c r="AR78" s="32"/>
      <c r="AS78" s="32">
        <f>(AS58+AS41+AS21+AS7)*5/100</f>
        <v>0</v>
      </c>
      <c r="AT78" s="32">
        <f>(AT58+AT41+AT21+AT7)*5/100</f>
        <v>0</v>
      </c>
      <c r="AU78" s="236"/>
    </row>
    <row r="79" spans="1:47" ht="13.5" customHeight="1" thickBot="1">
      <c r="A79" s="353"/>
      <c r="B79" s="354"/>
      <c r="C79" s="353"/>
      <c r="D79" s="353"/>
      <c r="E79" s="355"/>
      <c r="F79" s="353">
        <f t="shared" si="3"/>
        <v>0</v>
      </c>
      <c r="G79" s="353"/>
      <c r="H79" s="353"/>
      <c r="I79" s="317"/>
      <c r="J79" s="317"/>
      <c r="K79" s="317"/>
      <c r="L79" s="317"/>
      <c r="M79" s="319"/>
      <c r="N79" s="319"/>
      <c r="O79" s="319"/>
      <c r="P79" s="319"/>
      <c r="Q79" s="321"/>
      <c r="R79" s="321"/>
      <c r="S79" s="321"/>
      <c r="T79" s="356"/>
      <c r="U79" s="24"/>
      <c r="V79" s="24">
        <f>T79*S79*P79</f>
        <v>0</v>
      </c>
      <c r="W79" s="24">
        <f>V79*T79*R79</f>
        <v>0</v>
      </c>
      <c r="X79" s="239"/>
      <c r="Y79" s="23"/>
      <c r="Z79" s="24">
        <f>X79*W79*T79</f>
        <v>0</v>
      </c>
      <c r="AA79" s="24">
        <f>Z79*X79*V79</f>
        <v>0</v>
      </c>
      <c r="AB79" s="239"/>
      <c r="AC79" s="24"/>
      <c r="AD79" s="24">
        <f>AB79*AA79*X79</f>
        <v>0</v>
      </c>
      <c r="AE79" s="24">
        <f>AD79*AB79*Z79</f>
        <v>0</v>
      </c>
      <c r="AF79" s="24"/>
      <c r="AG79" s="24"/>
      <c r="AH79" s="24">
        <f>AF79*AE79*AB79</f>
        <v>0</v>
      </c>
      <c r="AI79" s="24">
        <f>AH79*AF79*AD79</f>
        <v>0</v>
      </c>
      <c r="AJ79" s="24"/>
      <c r="AK79" s="24">
        <f>AJ79*AI79*AF79</f>
        <v>0</v>
      </c>
      <c r="AL79" s="24">
        <f>AK79*AJ79*AH79</f>
        <v>0</v>
      </c>
      <c r="AM79" s="24"/>
      <c r="AN79" s="24"/>
      <c r="AO79" s="24">
        <f>AM79*AL79*AJ79</f>
        <v>0</v>
      </c>
      <c r="AP79" s="24">
        <f>AO79*AM79*AK79</f>
        <v>0</v>
      </c>
      <c r="AQ79" s="24"/>
      <c r="AR79" s="24"/>
      <c r="AS79" s="24">
        <f>AQ79*AP79*AM79</f>
        <v>0</v>
      </c>
      <c r="AT79" s="24">
        <f>AS79*AQ79*AO79</f>
        <v>0</v>
      </c>
      <c r="AU79" s="24"/>
    </row>
    <row r="80" spans="1:47" ht="13.5" customHeight="1" thickBot="1">
      <c r="A80" s="52" t="s">
        <v>20</v>
      </c>
      <c r="B80" s="109"/>
      <c r="C80" s="103"/>
      <c r="D80" s="104"/>
      <c r="E80" s="130"/>
      <c r="F80" s="241">
        <f t="shared" si="3"/>
        <v>3725846.25</v>
      </c>
      <c r="G80" s="241">
        <f>J80+N80+R80</f>
        <v>1242675</v>
      </c>
      <c r="H80" s="241">
        <f>K80+O80+S80</f>
        <v>2483171.25</v>
      </c>
      <c r="I80" s="253"/>
      <c r="J80" s="253">
        <f>J78+J58+J41+J21+J7</f>
        <v>0</v>
      </c>
      <c r="K80" s="253">
        <f>K78+K58+K41+K21+K7</f>
        <v>971171.25</v>
      </c>
      <c r="L80" s="253"/>
      <c r="M80" s="260"/>
      <c r="N80" s="260">
        <f>N78+N58+N41+N21+N7</f>
        <v>1242675</v>
      </c>
      <c r="O80" s="260">
        <f>O78+O58+O41+O21+O7</f>
        <v>0</v>
      </c>
      <c r="P80" s="260"/>
      <c r="Q80" s="244"/>
      <c r="R80" s="244">
        <f>R78+R58+R41+R21+R7</f>
        <v>0</v>
      </c>
      <c r="S80" s="244">
        <f>S78+S58+S41+S21+S7</f>
        <v>1512000</v>
      </c>
      <c r="T80" s="247"/>
      <c r="U80" s="225"/>
      <c r="V80" s="32">
        <f>V78+V58+V41+V21+V7</f>
        <v>0</v>
      </c>
      <c r="W80" s="32">
        <f>W78+W58+W41+W21+W7</f>
        <v>165207</v>
      </c>
      <c r="X80" s="236"/>
      <c r="Y80" s="235"/>
      <c r="Z80" s="32">
        <f>Z78+Z58+Z41+Z21+Z7</f>
        <v>0</v>
      </c>
      <c r="AA80" s="32">
        <f>AA78+AA58+AA41+AA21+AA7</f>
        <v>345450</v>
      </c>
      <c r="AB80" s="236"/>
      <c r="AC80" s="225"/>
      <c r="AD80" s="32">
        <f>AD78+AD58+AD41+AD21+AD7</f>
        <v>0</v>
      </c>
      <c r="AE80" s="32">
        <f>AE78+AE58+AE41+AE21+AE7</f>
        <v>7350000</v>
      </c>
      <c r="AF80" s="32"/>
      <c r="AG80" s="32"/>
      <c r="AH80" s="32">
        <f>AH78+AH58+AH41+AH21+AH7</f>
        <v>0</v>
      </c>
      <c r="AI80" s="32">
        <f>AI78+AI58+AI41+AI21+AI7</f>
        <v>0</v>
      </c>
      <c r="AJ80" s="32"/>
      <c r="AK80" s="32">
        <f>AK78+AK58+AK41+AK21+AK7</f>
        <v>0</v>
      </c>
      <c r="AL80" s="32">
        <f>AL78+AL58+AL41+AL21+AL7</f>
        <v>0</v>
      </c>
      <c r="AM80" s="32"/>
      <c r="AN80" s="32"/>
      <c r="AO80" s="32">
        <f>AO78+AO58+AO41+AO21+AO7</f>
        <v>0</v>
      </c>
      <c r="AP80" s="32">
        <f>AP78+AP58+AP41+AP21+AP7</f>
        <v>0</v>
      </c>
      <c r="AQ80" s="32"/>
      <c r="AR80" s="32"/>
      <c r="AS80" s="32">
        <f>AS78+AS58+AS41+AS21+AS7</f>
        <v>0</v>
      </c>
      <c r="AT80" s="32">
        <f>AT78+AT58+AT41+AT21+AT7</f>
        <v>0</v>
      </c>
      <c r="AU80" s="32"/>
    </row>
    <row r="81" spans="1:47" ht="13.5" customHeight="1" thickBot="1">
      <c r="A81" s="52" t="s">
        <v>29</v>
      </c>
      <c r="B81" s="109"/>
      <c r="C81" s="103"/>
      <c r="D81" s="104"/>
      <c r="E81" s="130"/>
      <c r="F81" s="241">
        <f t="shared" si="3"/>
        <v>1304046.1875</v>
      </c>
      <c r="G81" s="241">
        <f>J81+N81+R81</f>
        <v>434936.25</v>
      </c>
      <c r="H81" s="241">
        <f>K81+O81+S81</f>
        <v>869109.9375</v>
      </c>
      <c r="I81" s="253"/>
      <c r="J81" s="253">
        <f>J80*35/100</f>
        <v>0</v>
      </c>
      <c r="K81" s="253">
        <f>K80*35/100</f>
        <v>339909.9375</v>
      </c>
      <c r="L81" s="253"/>
      <c r="M81" s="260"/>
      <c r="N81" s="260">
        <f>N80*35/100</f>
        <v>434936.25</v>
      </c>
      <c r="O81" s="260">
        <f>O80*35/100</f>
        <v>0</v>
      </c>
      <c r="P81" s="260"/>
      <c r="Q81" s="244"/>
      <c r="R81" s="244">
        <f>R80*35/100</f>
        <v>0</v>
      </c>
      <c r="S81" s="244">
        <f>S80*35/100</f>
        <v>529200</v>
      </c>
      <c r="T81" s="247"/>
      <c r="U81" s="225"/>
      <c r="V81" s="32">
        <f>V80*35/100</f>
        <v>0</v>
      </c>
      <c r="W81" s="32">
        <f>W80*35/100</f>
        <v>57822.45</v>
      </c>
      <c r="X81" s="236"/>
      <c r="Y81" s="235"/>
      <c r="Z81" s="32">
        <f>Z80*35/100</f>
        <v>0</v>
      </c>
      <c r="AA81" s="32">
        <f>AA80*35/100</f>
        <v>120907.5</v>
      </c>
      <c r="AB81" s="236"/>
      <c r="AC81" s="225"/>
      <c r="AD81" s="32">
        <f>AD80*35/100</f>
        <v>0</v>
      </c>
      <c r="AE81" s="32">
        <f>AE80*35/100</f>
        <v>2572500</v>
      </c>
      <c r="AF81" s="32"/>
      <c r="AG81" s="32"/>
      <c r="AH81" s="32">
        <f>AH80*35/100</f>
        <v>0</v>
      </c>
      <c r="AI81" s="32">
        <f>AI80*35/100</f>
        <v>0</v>
      </c>
      <c r="AJ81" s="32"/>
      <c r="AK81" s="32">
        <f>AK80*35/100</f>
        <v>0</v>
      </c>
      <c r="AL81" s="32">
        <f>AL80*35/100</f>
        <v>0</v>
      </c>
      <c r="AM81" s="32"/>
      <c r="AN81" s="32"/>
      <c r="AO81" s="32">
        <f>AO80*35/100</f>
        <v>0</v>
      </c>
      <c r="AP81" s="32">
        <f>AP80*35/100</f>
        <v>0</v>
      </c>
      <c r="AQ81" s="32"/>
      <c r="AR81" s="32"/>
      <c r="AS81" s="32">
        <f>AS80*35/100</f>
        <v>0</v>
      </c>
      <c r="AT81" s="32">
        <f>AT80*35/100</f>
        <v>0</v>
      </c>
      <c r="AU81" s="32"/>
    </row>
    <row r="82" spans="1:47" ht="13.5" customHeight="1" thickBot="1">
      <c r="A82" s="52" t="s">
        <v>25</v>
      </c>
      <c r="B82" s="109"/>
      <c r="C82" s="103"/>
      <c r="D82" s="104"/>
      <c r="E82" s="130"/>
      <c r="F82" s="241">
        <f t="shared" si="3"/>
        <v>15641779.3875</v>
      </c>
      <c r="G82" s="241">
        <f>J82+N82+R82+V82+Z82+AD82+AH82+AK82+AO82+AS82</f>
        <v>1677611.25</v>
      </c>
      <c r="H82" s="241">
        <f>K82+O82+S82+W82+AA82+AE82+AI82+AL82+AP82+AT82</f>
        <v>13964168.1375</v>
      </c>
      <c r="I82" s="253"/>
      <c r="J82" s="253">
        <f>J81+J80</f>
        <v>0</v>
      </c>
      <c r="K82" s="253">
        <f>K81+K80</f>
        <v>1311081.1875</v>
      </c>
      <c r="L82" s="253"/>
      <c r="M82" s="260"/>
      <c r="N82" s="260">
        <f>N81+N80</f>
        <v>1677611.25</v>
      </c>
      <c r="O82" s="260">
        <f>O81+O80</f>
        <v>0</v>
      </c>
      <c r="P82" s="260"/>
      <c r="Q82" s="244"/>
      <c r="R82" s="244">
        <f>R81+R80</f>
        <v>0</v>
      </c>
      <c r="S82" s="244">
        <f>S81+S80</f>
        <v>2041200</v>
      </c>
      <c r="T82" s="248"/>
      <c r="U82" s="225"/>
      <c r="V82" s="32">
        <f>V81+V80</f>
        <v>0</v>
      </c>
      <c r="W82" s="32">
        <f>W81+W80</f>
        <v>223029.45</v>
      </c>
      <c r="X82" s="236"/>
      <c r="Y82" s="235"/>
      <c r="Z82" s="32">
        <f>Z81+Z80</f>
        <v>0</v>
      </c>
      <c r="AA82" s="32">
        <f>AA81+AA80</f>
        <v>466357.5</v>
      </c>
      <c r="AB82" s="236"/>
      <c r="AC82" s="225"/>
      <c r="AD82" s="32">
        <f>AD81+AD80</f>
        <v>0</v>
      </c>
      <c r="AE82" s="32">
        <f>AE81+AE80</f>
        <v>9922500</v>
      </c>
      <c r="AF82" s="32"/>
      <c r="AG82" s="32"/>
      <c r="AH82" s="32">
        <f>AH81+AH80</f>
        <v>0</v>
      </c>
      <c r="AI82" s="32">
        <f>AI81+AI80</f>
        <v>0</v>
      </c>
      <c r="AJ82" s="32"/>
      <c r="AK82" s="32">
        <f>AK81+AK80</f>
        <v>0</v>
      </c>
      <c r="AL82" s="32">
        <f>AL81+AL80</f>
        <v>0</v>
      </c>
      <c r="AM82" s="32"/>
      <c r="AN82" s="32"/>
      <c r="AO82" s="32">
        <f>AO81+AO80</f>
        <v>0</v>
      </c>
      <c r="AP82" s="32">
        <f>AP81+AP80</f>
        <v>0</v>
      </c>
      <c r="AQ82" s="32"/>
      <c r="AR82" s="32"/>
      <c r="AS82" s="32">
        <f>AS81+AS80</f>
        <v>0</v>
      </c>
      <c r="AT82" s="32">
        <f>AT81+AT80</f>
        <v>0</v>
      </c>
      <c r="AU82" s="32"/>
    </row>
  </sheetData>
  <sheetProtection/>
  <mergeCells count="13">
    <mergeCell ref="AR5:AU5"/>
    <mergeCell ref="AK5:AM5"/>
    <mergeCell ref="C1:E1"/>
    <mergeCell ref="C2:E2"/>
    <mergeCell ref="C3:E3"/>
    <mergeCell ref="I5:L5"/>
    <mergeCell ref="M5:P5"/>
    <mergeCell ref="Q5:T5"/>
    <mergeCell ref="U5:X5"/>
    <mergeCell ref="Y5:AB5"/>
    <mergeCell ref="AC5:AF5"/>
    <mergeCell ref="AG5:AJ5"/>
    <mergeCell ref="AN5:AQ5"/>
  </mergeCells>
  <printOptions/>
  <pageMargins left="0.7" right="0.7" top="0.75" bottom="0.75" header="0.3" footer="0.3"/>
  <pageSetup fitToHeight="0" fitToWidth="1" horizontalDpi="600" verticalDpi="600" orientation="landscape" scale="21" r:id="rId3"/>
  <headerFooter>
    <oddHeader>&amp;CHost communities funding 3W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 the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Micael Sanchez</dc:creator>
  <cp:keywords/>
  <dc:description/>
  <cp:lastModifiedBy>Jean Christophe Barbiche</cp:lastModifiedBy>
  <cp:lastPrinted>2013-05-16T08:10:42Z</cp:lastPrinted>
  <dcterms:created xsi:type="dcterms:W3CDTF">2010-02-01T18:14:26Z</dcterms:created>
  <dcterms:modified xsi:type="dcterms:W3CDTF">2013-06-13T13:55:18Z</dcterms:modified>
  <cp:category/>
  <cp:version/>
  <cp:contentType/>
  <cp:contentStatus/>
</cp:coreProperties>
</file>