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9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HMAN\Documents\CASS\HNO template Word\"/>
    </mc:Choice>
  </mc:AlternateContent>
  <bookViews>
    <workbookView xWindow="0" yWindow="180" windowWidth="12285" windowHeight="5190" activeTab="4"/>
  </bookViews>
  <sheets>
    <sheet name="Start" sheetId="4" r:id="rId1"/>
    <sheet name="PN Sector" sheetId="1" r:id="rId2"/>
    <sheet name="PN Location" sheetId="9" r:id="rId3"/>
    <sheet name="Sector Charts" sheetId="7" r:id="rId4"/>
    <sheet name="PN Caseload" sheetId="3" r:id="rId5"/>
    <sheet name="Sector Footer Charts" sheetId="5" r:id="rId6"/>
    <sheet name="Timeline of Events" sheetId="6" r:id="rId7"/>
    <sheet name="Assessments" sheetId="8" r:id="rId8"/>
  </sheets>
  <definedNames>
    <definedName name="arr_h" localSheetId="2">--'PN Location'!rng</definedName>
    <definedName name="arr_h" localSheetId="3">--'Sector Charts'!rng</definedName>
    <definedName name="arr_h">--rng</definedName>
    <definedName name="arr_x" localSheetId="2">(COLUMN('PN Location'!rng)-MIN(COLUMN('PN Location'!rng))+1)*('PN Location'!rng='PN Location'!rng)</definedName>
    <definedName name="arr_x" localSheetId="3">(COLUMN('Sector Charts'!rng)-MIN(COLUMN('Sector Charts'!rng))+1)*('Sector Charts'!rng='Sector Charts'!rng)</definedName>
    <definedName name="arr_x">(COLUMN(rng)-MIN(COLUMN(rng))+1)*(rng=rng)</definedName>
    <definedName name="arr_y" localSheetId="2">(ROW('PN Location'!rng)-MIN(ROW('PN Location'!rng))+1)*('PN Location'!rng='PN Location'!rng)</definedName>
    <definedName name="arr_y" localSheetId="3">(ROW('Sector Charts'!rng)-MIN(ROW('Sector Charts'!rng))+1)*('Sector Charts'!rng='Sector Charts'!rng)</definedName>
    <definedName name="arr_y">(ROW(rng)-MIN(ROW(rng))+1)*(rng=rng)</definedName>
    <definedName name="asse_x_val_h" localSheetId="2">'PN Location'!asse_x_val_y+1</definedName>
    <definedName name="asse_x_val_h" localSheetId="3">'Sector Charts'!asse_x_val_y+1</definedName>
    <definedName name="asse_x_val_h">asse_x_val_y+1</definedName>
    <definedName name="asse_x_val_x" localSheetId="2">OFFSET('PN Location'!rng,-1,,1)</definedName>
    <definedName name="asse_x_val_x" localSheetId="3">OFFSET('Sector Charts'!rng,-1,,1)</definedName>
    <definedName name="asse_x_val_x">OFFSET(rng,-1,,1)</definedName>
    <definedName name="asse_x_val_y" localSheetId="2">COLUMN('PN Location'!rng)*0</definedName>
    <definedName name="asse_x_val_y" localSheetId="3">COLUMN('Sector Charts'!rng)*0</definedName>
    <definedName name="asse_x_val_y">COLUMN(rng)*0</definedName>
    <definedName name="asse_y_val_h" localSheetId="2">ROW('PN Location'!rng)^0</definedName>
    <definedName name="asse_y_val_h" localSheetId="3">ROW('Sector Charts'!rng)^0</definedName>
    <definedName name="asse_y_val_h">ROW(rng)^0</definedName>
    <definedName name="asse_y_val_x" localSheetId="2">OFFSET('PN Location'!rng,,-1,,1)</definedName>
    <definedName name="asse_y_val_x" localSheetId="3">OFFSET('Sector Charts'!rng,,-1,,1)</definedName>
    <definedName name="asse_y_val_x">OFFSET(rng,,-1,,1)</definedName>
    <definedName name="asse_y_val_y" localSheetId="2">ROWS('PN Location'!rng)-INDEX('PN Location'!arr_y,,1)+1</definedName>
    <definedName name="asse_y_val_y" localSheetId="3">ROWS('Sector Charts'!rng)-INDEX('Sector Charts'!arr_y,,1)+1</definedName>
    <definedName name="asse_y_val_y">ROWS(rng)-INDEX(arr_y,,1)+1</definedName>
    <definedName name="rng" localSheetId="2">OFFSET(INDIRECT("TblSector["&amp;'PN Location'!$A$7&amp;"]"),,1,COUNTA(INDIRECT("TblSector["&amp;'PN Location'!$A$7&amp;"]")),COUNTA(TblLoc[#Headers])-1)</definedName>
    <definedName name="rng" localSheetId="3">OFFSET(INDIRECT("TblSector["&amp;'Sector Charts'!$A$7&amp;"]"),,1,COUNTA(INDIRECT("TblSector["&amp;'Sector Charts'!$A$7&amp;"]")),COUNTA(TblSector5[#Headers])-1)</definedName>
    <definedName name="rng">OFFSET(INDIRECT("TblSector["&amp;'PN Sector'!$A$7&amp;"]"),,1,COUNTA(INDIRECT("TblSector["&amp;'PN Sector'!$A$7&amp;"]")),COUNTA(TblSector[#Headers])-1)</definedName>
  </definedNames>
  <calcPr calcId="152511"/>
</workbook>
</file>

<file path=xl/calcChain.xml><?xml version="1.0" encoding="utf-8"?>
<calcChain xmlns="http://schemas.openxmlformats.org/spreadsheetml/2006/main">
  <c r="B25" i="6" l="1"/>
  <c r="H56" i="9" l="1"/>
  <c r="G56" i="9"/>
  <c r="F56" i="9"/>
  <c r="E56" i="9"/>
  <c r="D56" i="9"/>
  <c r="C56" i="9"/>
  <c r="B56" i="9"/>
  <c r="T16" i="9"/>
  <c r="S16" i="9"/>
  <c r="Q16" i="9"/>
  <c r="P16" i="9"/>
  <c r="N16" i="9"/>
  <c r="L16" i="9"/>
  <c r="T15" i="9"/>
  <c r="S15" i="9"/>
  <c r="Q15" i="9"/>
  <c r="P15" i="9"/>
  <c r="N15" i="9"/>
  <c r="L15" i="9"/>
  <c r="T14" i="9"/>
  <c r="S14" i="9"/>
  <c r="Q14" i="9"/>
  <c r="P14" i="9"/>
  <c r="N14" i="9"/>
  <c r="L14" i="9"/>
  <c r="T13" i="9"/>
  <c r="S13" i="9"/>
  <c r="Q13" i="9"/>
  <c r="P13" i="9"/>
  <c r="N13" i="9"/>
  <c r="L13" i="9"/>
  <c r="T12" i="9"/>
  <c r="S12" i="9"/>
  <c r="Q12" i="9"/>
  <c r="P12" i="9"/>
  <c r="N12" i="9"/>
  <c r="L12" i="9"/>
  <c r="T11" i="9"/>
  <c r="S11" i="9"/>
  <c r="Q11" i="9"/>
  <c r="P11" i="9"/>
  <c r="N11" i="9"/>
  <c r="L11" i="9"/>
  <c r="T10" i="9"/>
  <c r="S10" i="9"/>
  <c r="Q10" i="9"/>
  <c r="P10" i="9"/>
  <c r="N10" i="9"/>
  <c r="L10" i="9"/>
  <c r="T9" i="9"/>
  <c r="S9" i="9"/>
  <c r="Q9" i="9"/>
  <c r="P9" i="9"/>
  <c r="N9" i="9"/>
  <c r="L9" i="9"/>
  <c r="T8" i="9"/>
  <c r="S8" i="9"/>
  <c r="Q8" i="9"/>
  <c r="P8" i="9"/>
  <c r="N8" i="9"/>
  <c r="L8" i="9"/>
  <c r="P8" i="1"/>
  <c r="P9" i="1"/>
  <c r="P10" i="1"/>
  <c r="P11" i="1"/>
  <c r="P12" i="1"/>
  <c r="P13" i="1"/>
  <c r="P14" i="1"/>
  <c r="P15" i="1"/>
  <c r="P16" i="1"/>
  <c r="T9" i="1"/>
  <c r="T10" i="1"/>
  <c r="T11" i="1"/>
  <c r="T12" i="1"/>
  <c r="T13" i="1"/>
  <c r="T14" i="1"/>
  <c r="T15" i="1"/>
  <c r="T16" i="1"/>
  <c r="T8" i="1"/>
  <c r="O6" i="8" l="1"/>
  <c r="O7" i="8"/>
  <c r="O8" i="8"/>
  <c r="O9" i="8"/>
  <c r="O10" i="8"/>
  <c r="O11" i="8"/>
  <c r="O12" i="8"/>
  <c r="O13" i="8"/>
  <c r="O14" i="8"/>
  <c r="O15" i="8"/>
  <c r="O5" i="8"/>
  <c r="D16" i="8"/>
  <c r="E16" i="8"/>
  <c r="F16" i="8"/>
  <c r="G16" i="8"/>
  <c r="H16" i="8"/>
  <c r="I16" i="8"/>
  <c r="J16" i="8"/>
  <c r="K16" i="8"/>
  <c r="L16" i="8"/>
  <c r="M16" i="8"/>
  <c r="N16" i="8"/>
  <c r="C16" i="8"/>
  <c r="O16" i="8" l="1"/>
  <c r="N8" i="7"/>
  <c r="N9" i="7"/>
  <c r="N10" i="7"/>
  <c r="N11" i="7"/>
  <c r="N12" i="7"/>
  <c r="N13" i="7"/>
  <c r="N14" i="7"/>
  <c r="N15" i="7"/>
  <c r="N16" i="7"/>
  <c r="L8" i="7"/>
  <c r="L9" i="7"/>
  <c r="L10" i="7"/>
  <c r="L11" i="7"/>
  <c r="L12" i="7"/>
  <c r="L13" i="7"/>
  <c r="L14" i="7"/>
  <c r="L15" i="7"/>
  <c r="L16" i="7"/>
  <c r="S9" i="7"/>
  <c r="S10" i="7"/>
  <c r="S11" i="7"/>
  <c r="S12" i="7"/>
  <c r="S13" i="7"/>
  <c r="S14" i="7"/>
  <c r="S15" i="7"/>
  <c r="S16" i="7"/>
  <c r="S8" i="7"/>
  <c r="T9" i="7"/>
  <c r="T10" i="7"/>
  <c r="T11" i="7"/>
  <c r="T12" i="7"/>
  <c r="T13" i="7"/>
  <c r="T14" i="7"/>
  <c r="T15" i="7"/>
  <c r="T16" i="7"/>
  <c r="T8" i="7"/>
  <c r="Q16" i="7"/>
  <c r="P16" i="7"/>
  <c r="Q15" i="7"/>
  <c r="P15" i="7"/>
  <c r="Q14" i="7"/>
  <c r="P14" i="7"/>
  <c r="Q13" i="7"/>
  <c r="P13" i="7"/>
  <c r="Q12" i="7"/>
  <c r="P12" i="7"/>
  <c r="Q11" i="7"/>
  <c r="P11" i="7"/>
  <c r="Q10" i="7"/>
  <c r="P10" i="7"/>
  <c r="Q9" i="7"/>
  <c r="P9" i="7"/>
  <c r="Q8" i="7"/>
  <c r="P8" i="7"/>
  <c r="N9" i="1" l="1"/>
  <c r="N10" i="1"/>
  <c r="N11" i="1"/>
  <c r="N12" i="1"/>
  <c r="N13" i="1"/>
  <c r="N14" i="1"/>
  <c r="N15" i="1"/>
  <c r="N16" i="1"/>
  <c r="N8" i="1"/>
  <c r="L9" i="1"/>
  <c r="L10" i="1"/>
  <c r="L11" i="1"/>
  <c r="L12" i="1"/>
  <c r="L13" i="1"/>
  <c r="L14" i="1"/>
  <c r="L15" i="1"/>
  <c r="L16" i="1"/>
  <c r="L8" i="1"/>
  <c r="Q8" i="1"/>
  <c r="Q9" i="1"/>
  <c r="Q10" i="1"/>
  <c r="Q11" i="1"/>
  <c r="Q12" i="1"/>
  <c r="Q13" i="1"/>
  <c r="Q14" i="1"/>
  <c r="Q15" i="1"/>
  <c r="Q16" i="1"/>
  <c r="S9" i="1" l="1"/>
  <c r="S10" i="1"/>
  <c r="S11" i="1"/>
  <c r="S12" i="1"/>
  <c r="S13" i="1"/>
  <c r="S14" i="1"/>
  <c r="S15" i="1"/>
  <c r="S16" i="1"/>
  <c r="S8" i="1"/>
  <c r="J21" i="3" l="1"/>
  <c r="J15" i="3"/>
  <c r="BT51" i="3"/>
  <c r="BT49" i="3"/>
  <c r="BH51" i="3"/>
  <c r="BH49" i="3"/>
  <c r="AV51" i="3"/>
  <c r="AV49" i="3"/>
  <c r="BA54" i="3"/>
  <c r="BM54" i="3"/>
  <c r="D26" i="3"/>
  <c r="AZ56" i="3" s="1"/>
  <c r="C26" i="3"/>
  <c r="BL56" i="3" s="1"/>
  <c r="BS33" i="3" l="1"/>
  <c r="BG33" i="3"/>
  <c r="AU33" i="3"/>
  <c r="E24" i="3"/>
  <c r="BF36" i="3" s="1"/>
  <c r="E25" i="3"/>
  <c r="BR36" i="3" s="1"/>
  <c r="E23" i="3"/>
  <c r="AT36" i="3" s="1"/>
  <c r="BS48" i="3"/>
  <c r="BT48" i="3" s="1"/>
  <c r="BS47" i="3"/>
  <c r="BS46" i="3" s="1"/>
  <c r="BS45" i="3" s="1"/>
  <c r="BS44" i="3" s="1"/>
  <c r="BS43" i="3" s="1"/>
  <c r="BS42" i="3" s="1"/>
  <c r="BS41" i="3" s="1"/>
  <c r="BS40" i="3" s="1"/>
  <c r="BS39" i="3" s="1"/>
  <c r="BG48" i="3"/>
  <c r="BG47" i="3" s="1"/>
  <c r="BG46" i="3" s="1"/>
  <c r="BG45" i="3" s="1"/>
  <c r="BG44" i="3" s="1"/>
  <c r="BG43" i="3" s="1"/>
  <c r="BG42" i="3" s="1"/>
  <c r="BG41" i="3" s="1"/>
  <c r="BG40" i="3" s="1"/>
  <c r="BG39" i="3" s="1"/>
  <c r="AU48" i="3"/>
  <c r="AU47" i="3" s="1"/>
  <c r="AU46" i="3" s="1"/>
  <c r="AU45" i="3" s="1"/>
  <c r="AU44" i="3" s="1"/>
  <c r="AU43" i="3" s="1"/>
  <c r="AU42" i="3" s="1"/>
  <c r="AU41" i="3" s="1"/>
  <c r="AU40" i="3" s="1"/>
  <c r="AU39" i="3" s="1"/>
  <c r="E26" i="3" l="1"/>
  <c r="BT47" i="3"/>
  <c r="BT46" i="3" s="1"/>
  <c r="BT45" i="3" s="1"/>
  <c r="BT44" i="3" s="1"/>
  <c r="BT43" i="3" s="1"/>
  <c r="BT42" i="3" s="1"/>
  <c r="BT41" i="3" s="1"/>
  <c r="BT40" i="3" s="1"/>
  <c r="BT39" i="3" s="1"/>
  <c r="BU48" i="3"/>
  <c r="BU47" i="3" s="1"/>
  <c r="BU46" i="3" s="1"/>
  <c r="BU45" i="3" s="1"/>
  <c r="BU44" i="3" s="1"/>
  <c r="BU43" i="3" s="1"/>
  <c r="BU42" i="3" s="1"/>
  <c r="BU41" i="3" s="1"/>
  <c r="BU40" i="3" s="1"/>
  <c r="BU39" i="3" s="1"/>
  <c r="AV48" i="3"/>
  <c r="AV47" i="3" s="1"/>
  <c r="AV46" i="3" s="1"/>
  <c r="AV45" i="3" s="1"/>
  <c r="AV44" i="3" s="1"/>
  <c r="AV43" i="3" s="1"/>
  <c r="AV42" i="3" s="1"/>
  <c r="AV41" i="3" s="1"/>
  <c r="AV40" i="3" s="1"/>
  <c r="AV39" i="3" s="1"/>
  <c r="BH48" i="3"/>
  <c r="T9" i="5"/>
  <c r="N9" i="5"/>
  <c r="H9" i="5"/>
  <c r="D28" i="5"/>
  <c r="AW48" i="3" l="1"/>
  <c r="F25" i="3"/>
  <c r="D22" i="3"/>
  <c r="C22" i="3"/>
  <c r="BV48" i="3"/>
  <c r="BW48" i="3" s="1"/>
  <c r="F24" i="3"/>
  <c r="F23" i="3"/>
  <c r="F26" i="3"/>
  <c r="BH47" i="3"/>
  <c r="BH46" i="3" s="1"/>
  <c r="BH45" i="3" s="1"/>
  <c r="BH44" i="3" s="1"/>
  <c r="BH43" i="3" s="1"/>
  <c r="BH42" i="3" s="1"/>
  <c r="BH41" i="3" s="1"/>
  <c r="BH40" i="3" s="1"/>
  <c r="BH39" i="3" s="1"/>
  <c r="BI48" i="3"/>
  <c r="AW47" i="3"/>
  <c r="AW46" i="3" s="1"/>
  <c r="AW45" i="3" s="1"/>
  <c r="AW44" i="3" s="1"/>
  <c r="AW43" i="3" s="1"/>
  <c r="AW42" i="3" s="1"/>
  <c r="AW41" i="3" s="1"/>
  <c r="AW40" i="3" s="1"/>
  <c r="AW39" i="3" s="1"/>
  <c r="AX48" i="3"/>
  <c r="C14" i="3"/>
  <c r="BR71" i="3"/>
  <c r="BF71" i="3"/>
  <c r="AT71" i="3"/>
  <c r="AH71" i="3"/>
  <c r="V71" i="3"/>
  <c r="J71" i="3"/>
  <c r="BQ74" i="3"/>
  <c r="BE74" i="3"/>
  <c r="AS74" i="3"/>
  <c r="AG74" i="3"/>
  <c r="U74" i="3"/>
  <c r="I74" i="3"/>
  <c r="BV47" i="3" l="1"/>
  <c r="BV46" i="3" s="1"/>
  <c r="BV45" i="3" s="1"/>
  <c r="BV44" i="3" s="1"/>
  <c r="BV43" i="3" s="1"/>
  <c r="BV42" i="3" s="1"/>
  <c r="BV41" i="3" s="1"/>
  <c r="BV40" i="3" s="1"/>
  <c r="BV39" i="3" s="1"/>
  <c r="BI47" i="3"/>
  <c r="BI46" i="3" s="1"/>
  <c r="BI45" i="3" s="1"/>
  <c r="BI44" i="3" s="1"/>
  <c r="BI43" i="3" s="1"/>
  <c r="BI42" i="3" s="1"/>
  <c r="BI41" i="3" s="1"/>
  <c r="BI40" i="3" s="1"/>
  <c r="BI39" i="3" s="1"/>
  <c r="BJ48" i="3"/>
  <c r="BW47" i="3"/>
  <c r="BW46" i="3" s="1"/>
  <c r="BW45" i="3" s="1"/>
  <c r="BW44" i="3" s="1"/>
  <c r="BW43" i="3" s="1"/>
  <c r="BW42" i="3" s="1"/>
  <c r="BW41" i="3" s="1"/>
  <c r="BW40" i="3" s="1"/>
  <c r="BW39" i="3" s="1"/>
  <c r="BX48" i="3"/>
  <c r="AX47" i="3"/>
  <c r="AX46" i="3" s="1"/>
  <c r="AX45" i="3" s="1"/>
  <c r="AX44" i="3" s="1"/>
  <c r="AX43" i="3" s="1"/>
  <c r="AX42" i="3" s="1"/>
  <c r="AX41" i="3" s="1"/>
  <c r="AX40" i="3" s="1"/>
  <c r="AX39" i="3" s="1"/>
  <c r="AY48" i="3"/>
  <c r="BS85" i="3"/>
  <c r="BG85" i="3"/>
  <c r="K85" i="3"/>
  <c r="W85" i="3"/>
  <c r="AI85" i="3"/>
  <c r="AU85" i="3"/>
  <c r="BJ47" i="3" l="1"/>
  <c r="BJ46" i="3" s="1"/>
  <c r="BJ45" i="3" s="1"/>
  <c r="BJ44" i="3" s="1"/>
  <c r="BJ43" i="3" s="1"/>
  <c r="BJ42" i="3" s="1"/>
  <c r="BJ41" i="3" s="1"/>
  <c r="BJ40" i="3" s="1"/>
  <c r="BJ39" i="3" s="1"/>
  <c r="BK48" i="3"/>
  <c r="BX47" i="3"/>
  <c r="BX46" i="3" s="1"/>
  <c r="BX45" i="3" s="1"/>
  <c r="BX44" i="3" s="1"/>
  <c r="BX43" i="3" s="1"/>
  <c r="BX42" i="3" s="1"/>
  <c r="BX41" i="3" s="1"/>
  <c r="BX40" i="3" s="1"/>
  <c r="BX39" i="3" s="1"/>
  <c r="BY48" i="3"/>
  <c r="AY47" i="3"/>
  <c r="AY46" i="3" s="1"/>
  <c r="AY45" i="3" s="1"/>
  <c r="AY44" i="3" s="1"/>
  <c r="AY43" i="3" s="1"/>
  <c r="AY42" i="3" s="1"/>
  <c r="AY41" i="3" s="1"/>
  <c r="AY40" i="3" s="1"/>
  <c r="AY39" i="3" s="1"/>
  <c r="AZ48" i="3"/>
  <c r="AI53" i="3"/>
  <c r="W53" i="3"/>
  <c r="K53" i="3"/>
  <c r="AI33" i="3"/>
  <c r="W33" i="3"/>
  <c r="K33" i="3"/>
  <c r="AH56" i="3"/>
  <c r="V56" i="3"/>
  <c r="J56" i="3"/>
  <c r="AH36" i="3"/>
  <c r="V36" i="3"/>
  <c r="J36" i="3"/>
  <c r="J27" i="3"/>
  <c r="D15" i="3" s="1"/>
  <c r="D14" i="3" l="1"/>
  <c r="BK47" i="3"/>
  <c r="BK46" i="3" s="1"/>
  <c r="BK45" i="3" s="1"/>
  <c r="BK44" i="3" s="1"/>
  <c r="BK43" i="3" s="1"/>
  <c r="BK42" i="3" s="1"/>
  <c r="BK41" i="3" s="1"/>
  <c r="BK40" i="3" s="1"/>
  <c r="BK39" i="3" s="1"/>
  <c r="BL48" i="3"/>
  <c r="BY47" i="3"/>
  <c r="BY46" i="3" s="1"/>
  <c r="BY45" i="3" s="1"/>
  <c r="BY44" i="3" s="1"/>
  <c r="BY43" i="3" s="1"/>
  <c r="BY42" i="3" s="1"/>
  <c r="BY41" i="3" s="1"/>
  <c r="BY40" i="3" s="1"/>
  <c r="BY39" i="3" s="1"/>
  <c r="BZ48" i="3"/>
  <c r="AZ47" i="3"/>
  <c r="AZ46" i="3" s="1"/>
  <c r="AZ45" i="3" s="1"/>
  <c r="AZ44" i="3" s="1"/>
  <c r="AZ43" i="3" s="1"/>
  <c r="AZ42" i="3" s="1"/>
  <c r="AZ41" i="3" s="1"/>
  <c r="AZ40" i="3" s="1"/>
  <c r="AZ39" i="3" s="1"/>
  <c r="BA48" i="3"/>
  <c r="D16" i="3"/>
  <c r="D17" i="3"/>
  <c r="D18" i="3"/>
  <c r="D19" i="3"/>
  <c r="D20" i="3"/>
  <c r="AI68" i="3"/>
  <c r="AJ68" i="3" s="1"/>
  <c r="W68" i="3"/>
  <c r="W67" i="3" s="1"/>
  <c r="W66" i="3" s="1"/>
  <c r="W65" i="3" s="1"/>
  <c r="W64" i="3" s="1"/>
  <c r="W63" i="3" s="1"/>
  <c r="W62" i="3" s="1"/>
  <c r="W61" i="3" s="1"/>
  <c r="W60" i="3" s="1"/>
  <c r="W59" i="3" s="1"/>
  <c r="K68" i="3"/>
  <c r="L68" i="3" s="1"/>
  <c r="AI48" i="3"/>
  <c r="AJ48" i="3" s="1"/>
  <c r="W48" i="3"/>
  <c r="X48" i="3" s="1"/>
  <c r="Y48" i="3" s="1"/>
  <c r="K48" i="3"/>
  <c r="L48" i="3" s="1"/>
  <c r="BL47" i="3" l="1"/>
  <c r="BL46" i="3" s="1"/>
  <c r="BL45" i="3" s="1"/>
  <c r="BL44" i="3" s="1"/>
  <c r="BL43" i="3" s="1"/>
  <c r="BL42" i="3" s="1"/>
  <c r="BL41" i="3" s="1"/>
  <c r="BL40" i="3" s="1"/>
  <c r="BL39" i="3" s="1"/>
  <c r="BM48" i="3"/>
  <c r="CA48" i="3"/>
  <c r="BZ47" i="3"/>
  <c r="BZ46" i="3" s="1"/>
  <c r="BZ45" i="3" s="1"/>
  <c r="BZ44" i="3" s="1"/>
  <c r="BZ43" i="3" s="1"/>
  <c r="BZ42" i="3" s="1"/>
  <c r="BZ41" i="3" s="1"/>
  <c r="BZ40" i="3" s="1"/>
  <c r="BZ39" i="3" s="1"/>
  <c r="BB48" i="3"/>
  <c r="BA47" i="3"/>
  <c r="BA46" i="3" s="1"/>
  <c r="BA45" i="3" s="1"/>
  <c r="BA44" i="3" s="1"/>
  <c r="BA43" i="3" s="1"/>
  <c r="BA42" i="3" s="1"/>
  <c r="BA41" i="3" s="1"/>
  <c r="BA40" i="3" s="1"/>
  <c r="BA39" i="3" s="1"/>
  <c r="W47" i="3"/>
  <c r="W46" i="3" s="1"/>
  <c r="W45" i="3" s="1"/>
  <c r="W44" i="3" s="1"/>
  <c r="W43" i="3" s="1"/>
  <c r="W42" i="3" s="1"/>
  <c r="W41" i="3" s="1"/>
  <c r="W40" i="3" s="1"/>
  <c r="W39" i="3" s="1"/>
  <c r="AI47" i="3"/>
  <c r="AI46" i="3" s="1"/>
  <c r="AI45" i="3" s="1"/>
  <c r="AI44" i="3" s="1"/>
  <c r="AI43" i="3" s="1"/>
  <c r="AI42" i="3" s="1"/>
  <c r="AI41" i="3" s="1"/>
  <c r="AI40" i="3" s="1"/>
  <c r="AI39" i="3" s="1"/>
  <c r="K47" i="3"/>
  <c r="K46" i="3" s="1"/>
  <c r="K45" i="3" s="1"/>
  <c r="K44" i="3" s="1"/>
  <c r="K43" i="3" s="1"/>
  <c r="K42" i="3" s="1"/>
  <c r="K41" i="3" s="1"/>
  <c r="K40" i="3" s="1"/>
  <c r="K39" i="3" s="1"/>
  <c r="K67" i="3"/>
  <c r="K66" i="3" s="1"/>
  <c r="K65" i="3" s="1"/>
  <c r="K64" i="3" s="1"/>
  <c r="K63" i="3" s="1"/>
  <c r="K62" i="3" s="1"/>
  <c r="K61" i="3" s="1"/>
  <c r="K60" i="3" s="1"/>
  <c r="K59" i="3" s="1"/>
  <c r="L47" i="3"/>
  <c r="L46" i="3" s="1"/>
  <c r="L45" i="3" s="1"/>
  <c r="L44" i="3" s="1"/>
  <c r="L43" i="3" s="1"/>
  <c r="L42" i="3" s="1"/>
  <c r="L41" i="3" s="1"/>
  <c r="L40" i="3" s="1"/>
  <c r="L39" i="3" s="1"/>
  <c r="M48" i="3"/>
  <c r="X68" i="3"/>
  <c r="X67" i="3" s="1"/>
  <c r="X66" i="3" s="1"/>
  <c r="X65" i="3" s="1"/>
  <c r="X64" i="3" s="1"/>
  <c r="X63" i="3" s="1"/>
  <c r="X62" i="3" s="1"/>
  <c r="X61" i="3" s="1"/>
  <c r="X60" i="3" s="1"/>
  <c r="X59" i="3" s="1"/>
  <c r="AJ67" i="3"/>
  <c r="AJ66" i="3" s="1"/>
  <c r="AJ65" i="3" s="1"/>
  <c r="AJ64" i="3" s="1"/>
  <c r="AJ63" i="3" s="1"/>
  <c r="AJ62" i="3" s="1"/>
  <c r="AJ61" i="3" s="1"/>
  <c r="AJ60" i="3" s="1"/>
  <c r="AJ59" i="3" s="1"/>
  <c r="AK68" i="3"/>
  <c r="AI67" i="3"/>
  <c r="AI66" i="3" s="1"/>
  <c r="AI65" i="3" s="1"/>
  <c r="AI64" i="3" s="1"/>
  <c r="AI63" i="3" s="1"/>
  <c r="AI62" i="3" s="1"/>
  <c r="AI61" i="3" s="1"/>
  <c r="AI60" i="3" s="1"/>
  <c r="AI59" i="3" s="1"/>
  <c r="M68" i="3"/>
  <c r="L67" i="3"/>
  <c r="L66" i="3" s="1"/>
  <c r="L65" i="3" s="1"/>
  <c r="L64" i="3" s="1"/>
  <c r="L63" i="3" s="1"/>
  <c r="L62" i="3" s="1"/>
  <c r="L61" i="3" s="1"/>
  <c r="L60" i="3" s="1"/>
  <c r="L59" i="3" s="1"/>
  <c r="AK48" i="3"/>
  <c r="AJ47" i="3"/>
  <c r="AJ46" i="3" s="1"/>
  <c r="AJ45" i="3" s="1"/>
  <c r="AJ44" i="3" s="1"/>
  <c r="AJ43" i="3" s="1"/>
  <c r="AJ42" i="3" s="1"/>
  <c r="AJ41" i="3" s="1"/>
  <c r="AJ40" i="3" s="1"/>
  <c r="AJ39" i="3" s="1"/>
  <c r="Y47" i="3"/>
  <c r="Y46" i="3" s="1"/>
  <c r="Y45" i="3" s="1"/>
  <c r="Y44" i="3" s="1"/>
  <c r="Y43" i="3" s="1"/>
  <c r="Y42" i="3" s="1"/>
  <c r="Y41" i="3" s="1"/>
  <c r="Y40" i="3" s="1"/>
  <c r="Y39" i="3" s="1"/>
  <c r="Z48" i="3"/>
  <c r="X47" i="3"/>
  <c r="X46" i="3" s="1"/>
  <c r="X45" i="3" s="1"/>
  <c r="X44" i="3" s="1"/>
  <c r="X43" i="3" s="1"/>
  <c r="X42" i="3" s="1"/>
  <c r="X41" i="3" s="1"/>
  <c r="X40" i="3" s="1"/>
  <c r="X39" i="3" s="1"/>
  <c r="BN48" i="3" l="1"/>
  <c r="BM47" i="3"/>
  <c r="BM46" i="3" s="1"/>
  <c r="BM45" i="3" s="1"/>
  <c r="BM44" i="3" s="1"/>
  <c r="BM43" i="3" s="1"/>
  <c r="BM42" i="3" s="1"/>
  <c r="BM41" i="3" s="1"/>
  <c r="BM40" i="3" s="1"/>
  <c r="BM39" i="3" s="1"/>
  <c r="CB48" i="3"/>
  <c r="CB47" i="3" s="1"/>
  <c r="CB46" i="3" s="1"/>
  <c r="CB45" i="3" s="1"/>
  <c r="CB44" i="3" s="1"/>
  <c r="CB43" i="3" s="1"/>
  <c r="CB42" i="3" s="1"/>
  <c r="CB41" i="3" s="1"/>
  <c r="CB40" i="3" s="1"/>
  <c r="CB39" i="3" s="1"/>
  <c r="CA47" i="3"/>
  <c r="CA46" i="3" s="1"/>
  <c r="CA45" i="3" s="1"/>
  <c r="CA44" i="3" s="1"/>
  <c r="CA43" i="3" s="1"/>
  <c r="CA42" i="3" s="1"/>
  <c r="CA41" i="3" s="1"/>
  <c r="CA40" i="3" s="1"/>
  <c r="CA39" i="3" s="1"/>
  <c r="BC48" i="3"/>
  <c r="BB47" i="3"/>
  <c r="BB46" i="3" s="1"/>
  <c r="BB45" i="3" s="1"/>
  <c r="BB44" i="3" s="1"/>
  <c r="BB43" i="3" s="1"/>
  <c r="BB42" i="3" s="1"/>
  <c r="BB41" i="3" s="1"/>
  <c r="BB40" i="3" s="1"/>
  <c r="BB39" i="3" s="1"/>
  <c r="Y68" i="3"/>
  <c r="Y67" i="3" s="1"/>
  <c r="Y66" i="3" s="1"/>
  <c r="Y65" i="3" s="1"/>
  <c r="Y64" i="3" s="1"/>
  <c r="Y63" i="3" s="1"/>
  <c r="Y62" i="3" s="1"/>
  <c r="Y61" i="3" s="1"/>
  <c r="Y60" i="3" s="1"/>
  <c r="Y59" i="3" s="1"/>
  <c r="N48" i="3"/>
  <c r="M47" i="3"/>
  <c r="M46" i="3" s="1"/>
  <c r="M45" i="3" s="1"/>
  <c r="M44" i="3" s="1"/>
  <c r="M43" i="3" s="1"/>
  <c r="M42" i="3" s="1"/>
  <c r="M41" i="3" s="1"/>
  <c r="M40" i="3" s="1"/>
  <c r="M39" i="3" s="1"/>
  <c r="AK67" i="3"/>
  <c r="AK66" i="3" s="1"/>
  <c r="AK65" i="3" s="1"/>
  <c r="AK64" i="3" s="1"/>
  <c r="AK63" i="3" s="1"/>
  <c r="AK62" i="3" s="1"/>
  <c r="AK61" i="3" s="1"/>
  <c r="AK60" i="3" s="1"/>
  <c r="AK59" i="3" s="1"/>
  <c r="AL68" i="3"/>
  <c r="N68" i="3"/>
  <c r="M67" i="3"/>
  <c r="M66" i="3" s="1"/>
  <c r="M65" i="3" s="1"/>
  <c r="M64" i="3" s="1"/>
  <c r="M63" i="3" s="1"/>
  <c r="M62" i="3" s="1"/>
  <c r="M61" i="3" s="1"/>
  <c r="M60" i="3" s="1"/>
  <c r="M59" i="3" s="1"/>
  <c r="AL48" i="3"/>
  <c r="AK47" i="3"/>
  <c r="AK46" i="3" s="1"/>
  <c r="AK45" i="3" s="1"/>
  <c r="AK44" i="3" s="1"/>
  <c r="AK43" i="3" s="1"/>
  <c r="AK42" i="3" s="1"/>
  <c r="AK41" i="3" s="1"/>
  <c r="AK40" i="3" s="1"/>
  <c r="AK39" i="3" s="1"/>
  <c r="AA48" i="3"/>
  <c r="Z47" i="3"/>
  <c r="Z46" i="3" s="1"/>
  <c r="Z45" i="3" s="1"/>
  <c r="Z44" i="3" s="1"/>
  <c r="Z43" i="3" s="1"/>
  <c r="Z42" i="3" s="1"/>
  <c r="Z41" i="3" s="1"/>
  <c r="Z40" i="3" s="1"/>
  <c r="Z39" i="3" s="1"/>
  <c r="BO48" i="3" l="1"/>
  <c r="BN47" i="3"/>
  <c r="BN46" i="3" s="1"/>
  <c r="BN45" i="3" s="1"/>
  <c r="BN44" i="3" s="1"/>
  <c r="BN43" i="3" s="1"/>
  <c r="BN42" i="3" s="1"/>
  <c r="BN41" i="3" s="1"/>
  <c r="BN40" i="3" s="1"/>
  <c r="BN39" i="3" s="1"/>
  <c r="BD48" i="3"/>
  <c r="BD47" i="3" s="1"/>
  <c r="BD46" i="3" s="1"/>
  <c r="BD45" i="3" s="1"/>
  <c r="BD44" i="3" s="1"/>
  <c r="BD43" i="3" s="1"/>
  <c r="BD42" i="3" s="1"/>
  <c r="BD41" i="3" s="1"/>
  <c r="BD40" i="3" s="1"/>
  <c r="BD39" i="3" s="1"/>
  <c r="BC47" i="3"/>
  <c r="BC46" i="3" s="1"/>
  <c r="BC45" i="3" s="1"/>
  <c r="BC44" i="3" s="1"/>
  <c r="BC43" i="3" s="1"/>
  <c r="BC42" i="3" s="1"/>
  <c r="BC41" i="3" s="1"/>
  <c r="BC40" i="3" s="1"/>
  <c r="BC39" i="3" s="1"/>
  <c r="Z68" i="3"/>
  <c r="AA68" i="3" s="1"/>
  <c r="O48" i="3"/>
  <c r="N47" i="3"/>
  <c r="N46" i="3" s="1"/>
  <c r="N45" i="3" s="1"/>
  <c r="N44" i="3" s="1"/>
  <c r="N43" i="3" s="1"/>
  <c r="N42" i="3" s="1"/>
  <c r="N41" i="3" s="1"/>
  <c r="N40" i="3" s="1"/>
  <c r="N39" i="3" s="1"/>
  <c r="AL67" i="3"/>
  <c r="AL66" i="3" s="1"/>
  <c r="AL65" i="3" s="1"/>
  <c r="AL64" i="3" s="1"/>
  <c r="AL63" i="3" s="1"/>
  <c r="AL62" i="3" s="1"/>
  <c r="AL61" i="3" s="1"/>
  <c r="AL60" i="3" s="1"/>
  <c r="AL59" i="3" s="1"/>
  <c r="AM68" i="3"/>
  <c r="O68" i="3"/>
  <c r="N67" i="3"/>
  <c r="N66" i="3" s="1"/>
  <c r="N65" i="3" s="1"/>
  <c r="N64" i="3" s="1"/>
  <c r="N63" i="3" s="1"/>
  <c r="N62" i="3" s="1"/>
  <c r="N61" i="3" s="1"/>
  <c r="N60" i="3" s="1"/>
  <c r="N59" i="3" s="1"/>
  <c r="AM48" i="3"/>
  <c r="AL47" i="3"/>
  <c r="AL46" i="3" s="1"/>
  <c r="AL45" i="3" s="1"/>
  <c r="AL44" i="3" s="1"/>
  <c r="AL43" i="3" s="1"/>
  <c r="AL42" i="3" s="1"/>
  <c r="AL41" i="3" s="1"/>
  <c r="AL40" i="3" s="1"/>
  <c r="AL39" i="3" s="1"/>
  <c r="AB48" i="3"/>
  <c r="AA47" i="3"/>
  <c r="AA46" i="3" s="1"/>
  <c r="AA45" i="3" s="1"/>
  <c r="AA44" i="3" s="1"/>
  <c r="AA43" i="3" s="1"/>
  <c r="AA42" i="3" s="1"/>
  <c r="AA41" i="3" s="1"/>
  <c r="AA40" i="3" s="1"/>
  <c r="AA39" i="3" s="1"/>
  <c r="BP48" i="3" l="1"/>
  <c r="BP47" i="3" s="1"/>
  <c r="BP46" i="3" s="1"/>
  <c r="BP45" i="3" s="1"/>
  <c r="BP44" i="3" s="1"/>
  <c r="BP43" i="3" s="1"/>
  <c r="BP42" i="3" s="1"/>
  <c r="BP41" i="3" s="1"/>
  <c r="BP40" i="3" s="1"/>
  <c r="BP39" i="3" s="1"/>
  <c r="BO47" i="3"/>
  <c r="BO46" i="3" s="1"/>
  <c r="BO45" i="3" s="1"/>
  <c r="BO44" i="3" s="1"/>
  <c r="BO43" i="3" s="1"/>
  <c r="BO42" i="3" s="1"/>
  <c r="BO41" i="3" s="1"/>
  <c r="BO40" i="3" s="1"/>
  <c r="BO39" i="3" s="1"/>
  <c r="Z67" i="3"/>
  <c r="Z66" i="3" s="1"/>
  <c r="Z65" i="3" s="1"/>
  <c r="Z64" i="3" s="1"/>
  <c r="Z63" i="3" s="1"/>
  <c r="Z62" i="3" s="1"/>
  <c r="Z61" i="3" s="1"/>
  <c r="Z60" i="3" s="1"/>
  <c r="Z59" i="3" s="1"/>
  <c r="P48" i="3"/>
  <c r="O47" i="3"/>
  <c r="O46" i="3" s="1"/>
  <c r="O45" i="3" s="1"/>
  <c r="O44" i="3" s="1"/>
  <c r="O43" i="3" s="1"/>
  <c r="O42" i="3" s="1"/>
  <c r="O41" i="3" s="1"/>
  <c r="O40" i="3" s="1"/>
  <c r="O39" i="3" s="1"/>
  <c r="AM67" i="3"/>
  <c r="AM66" i="3" s="1"/>
  <c r="AM65" i="3" s="1"/>
  <c r="AM64" i="3" s="1"/>
  <c r="AM63" i="3" s="1"/>
  <c r="AM62" i="3" s="1"/>
  <c r="AM61" i="3" s="1"/>
  <c r="AM60" i="3" s="1"/>
  <c r="AM59" i="3" s="1"/>
  <c r="AN68" i="3"/>
  <c r="AA67" i="3"/>
  <c r="AA66" i="3" s="1"/>
  <c r="AA65" i="3" s="1"/>
  <c r="AA64" i="3" s="1"/>
  <c r="AA63" i="3" s="1"/>
  <c r="AA62" i="3" s="1"/>
  <c r="AA61" i="3" s="1"/>
  <c r="AA60" i="3" s="1"/>
  <c r="AA59" i="3" s="1"/>
  <c r="AB68" i="3"/>
  <c r="P68" i="3"/>
  <c r="O67" i="3"/>
  <c r="O66" i="3" s="1"/>
  <c r="O65" i="3" s="1"/>
  <c r="O64" i="3" s="1"/>
  <c r="O63" i="3" s="1"/>
  <c r="O62" i="3" s="1"/>
  <c r="O61" i="3" s="1"/>
  <c r="O60" i="3" s="1"/>
  <c r="O59" i="3" s="1"/>
  <c r="AN48" i="3"/>
  <c r="AM47" i="3"/>
  <c r="AM46" i="3" s="1"/>
  <c r="AM45" i="3" s="1"/>
  <c r="AM44" i="3" s="1"/>
  <c r="AM43" i="3" s="1"/>
  <c r="AM42" i="3" s="1"/>
  <c r="AM41" i="3" s="1"/>
  <c r="AM40" i="3" s="1"/>
  <c r="AM39" i="3" s="1"/>
  <c r="AB47" i="3"/>
  <c r="AB46" i="3" s="1"/>
  <c r="AB45" i="3" s="1"/>
  <c r="AB44" i="3" s="1"/>
  <c r="AB43" i="3" s="1"/>
  <c r="AB42" i="3" s="1"/>
  <c r="AB41" i="3" s="1"/>
  <c r="AB40" i="3" s="1"/>
  <c r="AB39" i="3" s="1"/>
  <c r="AC48" i="3"/>
  <c r="Q48" i="3" l="1"/>
  <c r="P47" i="3"/>
  <c r="P46" i="3" s="1"/>
  <c r="P45" i="3" s="1"/>
  <c r="P44" i="3" s="1"/>
  <c r="P43" i="3" s="1"/>
  <c r="P42" i="3" s="1"/>
  <c r="P41" i="3" s="1"/>
  <c r="P40" i="3" s="1"/>
  <c r="P39" i="3" s="1"/>
  <c r="AN67" i="3"/>
  <c r="AN66" i="3" s="1"/>
  <c r="AN65" i="3" s="1"/>
  <c r="AN64" i="3" s="1"/>
  <c r="AN63" i="3" s="1"/>
  <c r="AN62" i="3" s="1"/>
  <c r="AN61" i="3" s="1"/>
  <c r="AN60" i="3" s="1"/>
  <c r="AN59" i="3" s="1"/>
  <c r="AO68" i="3"/>
  <c r="AC68" i="3"/>
  <c r="AB67" i="3"/>
  <c r="AB66" i="3" s="1"/>
  <c r="AB65" i="3" s="1"/>
  <c r="AB64" i="3" s="1"/>
  <c r="AB63" i="3" s="1"/>
  <c r="AB62" i="3" s="1"/>
  <c r="AB61" i="3" s="1"/>
  <c r="AB60" i="3" s="1"/>
  <c r="AB59" i="3" s="1"/>
  <c r="P67" i="3"/>
  <c r="P66" i="3" s="1"/>
  <c r="P65" i="3" s="1"/>
  <c r="P64" i="3" s="1"/>
  <c r="P63" i="3" s="1"/>
  <c r="P62" i="3" s="1"/>
  <c r="P61" i="3" s="1"/>
  <c r="P60" i="3" s="1"/>
  <c r="P59" i="3" s="1"/>
  <c r="Q68" i="3"/>
  <c r="AN47" i="3"/>
  <c r="AN46" i="3" s="1"/>
  <c r="AN45" i="3" s="1"/>
  <c r="AN44" i="3" s="1"/>
  <c r="AN43" i="3" s="1"/>
  <c r="AN42" i="3" s="1"/>
  <c r="AN41" i="3" s="1"/>
  <c r="AN40" i="3" s="1"/>
  <c r="AN39" i="3" s="1"/>
  <c r="AO48" i="3"/>
  <c r="AD48" i="3"/>
  <c r="AC47" i="3"/>
  <c r="AC46" i="3" s="1"/>
  <c r="AC45" i="3" s="1"/>
  <c r="AC44" i="3" s="1"/>
  <c r="AC43" i="3" s="1"/>
  <c r="AC42" i="3" s="1"/>
  <c r="AC41" i="3" s="1"/>
  <c r="AC40" i="3" s="1"/>
  <c r="AC39" i="3" s="1"/>
  <c r="R48" i="3" l="1"/>
  <c r="Q47" i="3"/>
  <c r="Q46" i="3" s="1"/>
  <c r="Q45" i="3" s="1"/>
  <c r="Q44" i="3" s="1"/>
  <c r="Q43" i="3" s="1"/>
  <c r="Q42" i="3" s="1"/>
  <c r="Q41" i="3" s="1"/>
  <c r="Q40" i="3" s="1"/>
  <c r="Q39" i="3" s="1"/>
  <c r="AP68" i="3"/>
  <c r="AO67" i="3"/>
  <c r="AO66" i="3" s="1"/>
  <c r="AO65" i="3" s="1"/>
  <c r="AO64" i="3" s="1"/>
  <c r="AO63" i="3" s="1"/>
  <c r="AO62" i="3" s="1"/>
  <c r="AO61" i="3" s="1"/>
  <c r="AO60" i="3" s="1"/>
  <c r="AO59" i="3" s="1"/>
  <c r="AD68" i="3"/>
  <c r="AC67" i="3"/>
  <c r="AC66" i="3" s="1"/>
  <c r="AC65" i="3" s="1"/>
  <c r="AC64" i="3" s="1"/>
  <c r="AC63" i="3" s="1"/>
  <c r="AC62" i="3" s="1"/>
  <c r="AC61" i="3" s="1"/>
  <c r="AC60" i="3" s="1"/>
  <c r="AC59" i="3" s="1"/>
  <c r="Q67" i="3"/>
  <c r="Q66" i="3" s="1"/>
  <c r="Q65" i="3" s="1"/>
  <c r="Q64" i="3" s="1"/>
  <c r="Q63" i="3" s="1"/>
  <c r="Q62" i="3" s="1"/>
  <c r="Q61" i="3" s="1"/>
  <c r="Q60" i="3" s="1"/>
  <c r="Q59" i="3" s="1"/>
  <c r="R68" i="3"/>
  <c r="AO47" i="3"/>
  <c r="AO46" i="3" s="1"/>
  <c r="AO45" i="3" s="1"/>
  <c r="AO44" i="3" s="1"/>
  <c r="AO43" i="3" s="1"/>
  <c r="AO42" i="3" s="1"/>
  <c r="AO41" i="3" s="1"/>
  <c r="AO40" i="3" s="1"/>
  <c r="AO39" i="3" s="1"/>
  <c r="AP48" i="3"/>
  <c r="AE48" i="3"/>
  <c r="AD47" i="3"/>
  <c r="AD46" i="3" s="1"/>
  <c r="AD45" i="3" s="1"/>
  <c r="AD44" i="3" s="1"/>
  <c r="AD43" i="3" s="1"/>
  <c r="AD42" i="3" s="1"/>
  <c r="AD41" i="3" s="1"/>
  <c r="AD40" i="3" s="1"/>
  <c r="AD39" i="3" s="1"/>
  <c r="S48" i="3" l="1"/>
  <c r="R47" i="3"/>
  <c r="R46" i="3" s="1"/>
  <c r="R45" i="3" s="1"/>
  <c r="R44" i="3" s="1"/>
  <c r="R43" i="3" s="1"/>
  <c r="R42" i="3" s="1"/>
  <c r="R41" i="3" s="1"/>
  <c r="R40" i="3" s="1"/>
  <c r="R39" i="3" s="1"/>
  <c r="AQ68" i="3"/>
  <c r="AP67" i="3"/>
  <c r="AP66" i="3" s="1"/>
  <c r="AP65" i="3" s="1"/>
  <c r="AP64" i="3" s="1"/>
  <c r="AP63" i="3" s="1"/>
  <c r="AP62" i="3" s="1"/>
  <c r="AP61" i="3" s="1"/>
  <c r="AP60" i="3" s="1"/>
  <c r="AP59" i="3" s="1"/>
  <c r="AE68" i="3"/>
  <c r="AD67" i="3"/>
  <c r="AD66" i="3" s="1"/>
  <c r="AD65" i="3" s="1"/>
  <c r="AD64" i="3" s="1"/>
  <c r="AD63" i="3" s="1"/>
  <c r="AD62" i="3" s="1"/>
  <c r="AD61" i="3" s="1"/>
  <c r="AD60" i="3" s="1"/>
  <c r="AD59" i="3" s="1"/>
  <c r="R67" i="3"/>
  <c r="R66" i="3" s="1"/>
  <c r="R65" i="3" s="1"/>
  <c r="R64" i="3" s="1"/>
  <c r="R63" i="3" s="1"/>
  <c r="R62" i="3" s="1"/>
  <c r="R61" i="3" s="1"/>
  <c r="R60" i="3" s="1"/>
  <c r="R59" i="3" s="1"/>
  <c r="S68" i="3"/>
  <c r="AP47" i="3"/>
  <c r="AP46" i="3" s="1"/>
  <c r="AP45" i="3" s="1"/>
  <c r="AP44" i="3" s="1"/>
  <c r="AP43" i="3" s="1"/>
  <c r="AP42" i="3" s="1"/>
  <c r="AP41" i="3" s="1"/>
  <c r="AP40" i="3" s="1"/>
  <c r="AP39" i="3" s="1"/>
  <c r="AQ48" i="3"/>
  <c r="AE47" i="3"/>
  <c r="AE46" i="3" s="1"/>
  <c r="AE45" i="3" s="1"/>
  <c r="AE44" i="3" s="1"/>
  <c r="AE43" i="3" s="1"/>
  <c r="AE42" i="3" s="1"/>
  <c r="AE41" i="3" s="1"/>
  <c r="AE40" i="3" s="1"/>
  <c r="AE39" i="3" s="1"/>
  <c r="AF48" i="3"/>
  <c r="AF47" i="3" s="1"/>
  <c r="AF46" i="3" s="1"/>
  <c r="AF45" i="3" s="1"/>
  <c r="AF44" i="3" s="1"/>
  <c r="AF43" i="3" s="1"/>
  <c r="AF42" i="3" s="1"/>
  <c r="AF41" i="3" s="1"/>
  <c r="AF40" i="3" s="1"/>
  <c r="AF39" i="3" s="1"/>
  <c r="T48" i="3" l="1"/>
  <c r="T47" i="3" s="1"/>
  <c r="T46" i="3" s="1"/>
  <c r="T45" i="3" s="1"/>
  <c r="T44" i="3" s="1"/>
  <c r="T43" i="3" s="1"/>
  <c r="T42" i="3" s="1"/>
  <c r="T41" i="3" s="1"/>
  <c r="T40" i="3" s="1"/>
  <c r="T39" i="3" s="1"/>
  <c r="S47" i="3"/>
  <c r="S46" i="3" s="1"/>
  <c r="S45" i="3" s="1"/>
  <c r="S44" i="3" s="1"/>
  <c r="S43" i="3" s="1"/>
  <c r="S42" i="3" s="1"/>
  <c r="S41" i="3" s="1"/>
  <c r="S40" i="3" s="1"/>
  <c r="S39" i="3" s="1"/>
  <c r="AR68" i="3"/>
  <c r="AR67" i="3" s="1"/>
  <c r="AR66" i="3" s="1"/>
  <c r="AR65" i="3" s="1"/>
  <c r="AR64" i="3" s="1"/>
  <c r="AR63" i="3" s="1"/>
  <c r="AR62" i="3" s="1"/>
  <c r="AR61" i="3" s="1"/>
  <c r="AR60" i="3" s="1"/>
  <c r="AR59" i="3" s="1"/>
  <c r="AQ67" i="3"/>
  <c r="AQ66" i="3" s="1"/>
  <c r="AQ65" i="3" s="1"/>
  <c r="AQ64" i="3" s="1"/>
  <c r="AQ63" i="3" s="1"/>
  <c r="AQ62" i="3" s="1"/>
  <c r="AQ61" i="3" s="1"/>
  <c r="AQ60" i="3" s="1"/>
  <c r="AQ59" i="3" s="1"/>
  <c r="AE67" i="3"/>
  <c r="AE66" i="3" s="1"/>
  <c r="AE65" i="3" s="1"/>
  <c r="AE64" i="3" s="1"/>
  <c r="AE63" i="3" s="1"/>
  <c r="AE62" i="3" s="1"/>
  <c r="AE61" i="3" s="1"/>
  <c r="AE60" i="3" s="1"/>
  <c r="AE59" i="3" s="1"/>
  <c r="AF68" i="3"/>
  <c r="AF67" i="3" s="1"/>
  <c r="AF66" i="3" s="1"/>
  <c r="AF65" i="3" s="1"/>
  <c r="AF64" i="3" s="1"/>
  <c r="AF63" i="3" s="1"/>
  <c r="AF62" i="3" s="1"/>
  <c r="AF61" i="3" s="1"/>
  <c r="AF60" i="3" s="1"/>
  <c r="AF59" i="3" s="1"/>
  <c r="T68" i="3"/>
  <c r="T67" i="3" s="1"/>
  <c r="T66" i="3" s="1"/>
  <c r="T65" i="3" s="1"/>
  <c r="T64" i="3" s="1"/>
  <c r="T63" i="3" s="1"/>
  <c r="T62" i="3" s="1"/>
  <c r="T61" i="3" s="1"/>
  <c r="T60" i="3" s="1"/>
  <c r="T59" i="3" s="1"/>
  <c r="S67" i="3"/>
  <c r="S66" i="3" s="1"/>
  <c r="S65" i="3" s="1"/>
  <c r="S64" i="3" s="1"/>
  <c r="S63" i="3" s="1"/>
  <c r="S62" i="3" s="1"/>
  <c r="S61" i="3" s="1"/>
  <c r="S60" i="3" s="1"/>
  <c r="S59" i="3" s="1"/>
  <c r="AQ47" i="3"/>
  <c r="AQ46" i="3" s="1"/>
  <c r="AQ45" i="3" s="1"/>
  <c r="AQ44" i="3" s="1"/>
  <c r="AQ43" i="3" s="1"/>
  <c r="AQ42" i="3" s="1"/>
  <c r="AQ41" i="3" s="1"/>
  <c r="AQ40" i="3" s="1"/>
  <c r="AQ39" i="3" s="1"/>
  <c r="AR48" i="3"/>
  <c r="AR47" i="3" s="1"/>
  <c r="AR46" i="3" s="1"/>
  <c r="AR45" i="3" s="1"/>
  <c r="AR44" i="3" s="1"/>
  <c r="AR43" i="3" s="1"/>
  <c r="AR42" i="3" s="1"/>
  <c r="AR41" i="3" s="1"/>
  <c r="AR40" i="3" s="1"/>
  <c r="AR39" i="3" s="1"/>
</calcChain>
</file>

<file path=xl/sharedStrings.xml><?xml version="1.0" encoding="utf-8"?>
<sst xmlns="http://schemas.openxmlformats.org/spreadsheetml/2006/main" count="220" uniqueCount="115">
  <si>
    <t>Category 1</t>
  </si>
  <si>
    <t>Category 2</t>
  </si>
  <si>
    <t>Category 3</t>
  </si>
  <si>
    <t>IDPs</t>
  </si>
  <si>
    <t>Refugees</t>
  </si>
  <si>
    <t>Migrant</t>
  </si>
  <si>
    <t>Returnees</t>
  </si>
  <si>
    <t>Host Communities</t>
  </si>
  <si>
    <t>Lorem Ipsum</t>
  </si>
  <si>
    <t>Protection</t>
  </si>
  <si>
    <t>Nutrition</t>
  </si>
  <si>
    <t>Sheter and NFI</t>
  </si>
  <si>
    <t>Health</t>
  </si>
  <si>
    <t>Logistics</t>
  </si>
  <si>
    <t>Education</t>
  </si>
  <si>
    <t>PEOPLE IN NEED</t>
  </si>
  <si>
    <t>BREAKDOWN BY SECTOR</t>
  </si>
  <si>
    <t>NUMBER OF PEOPLE WHO NEED HUMANITARIAN ASSISTANCE</t>
  </si>
  <si>
    <t xml:space="preserve">Pie chart max size: </t>
  </si>
  <si>
    <t>Total number of people in Need</t>
  </si>
  <si>
    <t>Internally displaced Pers.</t>
  </si>
  <si>
    <t>Migrants</t>
  </si>
  <si>
    <t>Pie Charts Size</t>
  </si>
  <si>
    <t>Food-Insecure people</t>
  </si>
  <si>
    <t>Malourished Children</t>
  </si>
  <si>
    <t>lorem ipsum dolor sit amet</t>
  </si>
  <si>
    <t>lorem ipsum</t>
  </si>
  <si>
    <t>Category Label</t>
  </si>
  <si>
    <t>i.e. Moderate</t>
  </si>
  <si>
    <t>i.e. Severe</t>
  </si>
  <si>
    <t>Breakdown by Sector</t>
  </si>
  <si>
    <t>Breakdown by Caseload category</t>
  </si>
  <si>
    <t>My HNO Charts in Excel</t>
  </si>
  <si>
    <t>BREAKDOWN BY CASELOAD</t>
  </si>
  <si>
    <t>ENTER YOUR DATA IN THIS COLUMN</t>
  </si>
  <si>
    <t>YOUR HNO CHART WILL LOOK LIKE THIS</t>
  </si>
  <si>
    <t>Sector</t>
  </si>
  <si>
    <t>Nulla Facilisi (unit)</t>
  </si>
  <si>
    <t>Lorem ipsum</t>
  </si>
  <si>
    <t>LOREM IPSUM</t>
  </si>
  <si>
    <t>mauris finibus</t>
  </si>
  <si>
    <t>MAURIS FINIBUS</t>
  </si>
  <si>
    <t>NUTRITION</t>
  </si>
  <si>
    <t>out of</t>
  </si>
  <si>
    <t>malnourished</t>
  </si>
  <si>
    <t>Footer charts</t>
  </si>
  <si>
    <t>SECTOR TEMPLATE</t>
  </si>
  <si>
    <t>Sector, chart templates</t>
  </si>
  <si>
    <t xml:space="preserve">Resize the pie charts manualy using the sizes (in mm) mentioned above </t>
  </si>
  <si>
    <t>Children (&lt;18 years)</t>
  </si>
  <si>
    <t>Adult (18-59 years)</t>
  </si>
  <si>
    <t>Elderly (&gt;59 years)</t>
  </si>
  <si>
    <t>Male</t>
  </si>
  <si>
    <t>Female</t>
  </si>
  <si>
    <t>Total</t>
  </si>
  <si>
    <t>%</t>
  </si>
  <si>
    <t>Total Male</t>
  </si>
  <si>
    <t>Total Female</t>
  </si>
  <si>
    <t>girls</t>
  </si>
  <si>
    <t>boys</t>
  </si>
  <si>
    <t>women</t>
  </si>
  <si>
    <t>men</t>
  </si>
  <si>
    <t>¢</t>
  </si>
  <si>
    <t>Total population</t>
  </si>
  <si>
    <t>Number of people leaving in conflict affected areas</t>
  </si>
  <si>
    <t>In Need</t>
  </si>
  <si>
    <t>Number in million</t>
  </si>
  <si>
    <t>CHART 1</t>
  </si>
  <si>
    <t>CHART 2</t>
  </si>
  <si>
    <t>CHART 3</t>
  </si>
  <si>
    <t>Total Affected</t>
  </si>
  <si>
    <t>TOTAL POPULATION</t>
  </si>
  <si>
    <t>NUMBER OF PEOPLE LIVING IN CONFLICT-AFFECTED AREAS</t>
  </si>
  <si>
    <t>Date</t>
  </si>
  <si>
    <t>Vulnerable returnees</t>
  </si>
  <si>
    <t>Food Security</t>
  </si>
  <si>
    <t xml:space="preserve">Water, Sanitation &amp; Hygiene
</t>
  </si>
  <si>
    <t>Camp Cood. &amp; Camp Mgmt.</t>
  </si>
  <si>
    <t>Female %</t>
  </si>
  <si>
    <t>Children (&lt;18 years) %</t>
  </si>
  <si>
    <t>Adult (18-59 years)%</t>
  </si>
  <si>
    <t>Elderly (&gt;59 years)%</t>
  </si>
  <si>
    <t>Male %</t>
  </si>
  <si>
    <t xml:space="preserve">Children (&lt;18 years) </t>
  </si>
  <si>
    <t xml:space="preserve">Adult (18-59 years) </t>
  </si>
  <si>
    <t xml:space="preserve">Elderly (&gt;59 years) </t>
  </si>
  <si>
    <t>NEEDS OVERVIEW BY SECTOR CHARTS</t>
  </si>
  <si>
    <t>FOOD SECURITY</t>
  </si>
  <si>
    <t>WASH</t>
  </si>
  <si>
    <t>Coordination</t>
  </si>
  <si>
    <t>Early Recovery</t>
  </si>
  <si>
    <t>Emergency Shelter</t>
  </si>
  <si>
    <t>Emergency Telecom.</t>
  </si>
  <si>
    <t>Multi-Sector</t>
  </si>
  <si>
    <t>TOTAL</t>
  </si>
  <si>
    <t>EQUATEUR</t>
  </si>
  <si>
    <t>KAGAS</t>
  </si>
  <si>
    <t>PLATEAUX</t>
  </si>
  <si>
    <t>FERTIT</t>
  </si>
  <si>
    <t>YADE</t>
  </si>
  <si>
    <t>BREAKDOWN BY ADMIN LOCATION</t>
  </si>
  <si>
    <t>Location</t>
  </si>
  <si>
    <t>ADEN</t>
  </si>
  <si>
    <t>ABYAN</t>
  </si>
  <si>
    <t>AL BAYDA</t>
  </si>
  <si>
    <t>AL DHALE'E</t>
  </si>
  <si>
    <t>AL JAWF</t>
  </si>
  <si>
    <t>IBB</t>
  </si>
  <si>
    <t>LAHJ</t>
  </si>
  <si>
    <t>MARIB</t>
  </si>
  <si>
    <t>HAJJAH</t>
  </si>
  <si>
    <t>*Children (&lt;18 years old), adult (18-59 years), elderly (&gt;59 years)</t>
  </si>
  <si>
    <t>(JUNE 2016, IN MILLIONS)</t>
  </si>
  <si>
    <t>TOTAL IDPs</t>
  </si>
  <si>
    <t>INTERNALLY DISPLACED PERSONS 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</si>
</sst>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-;\-* #,##0.00_-;_-* &quot;-&quot;??_-;_-@_-"/>
    <numFmt numFmtId="165" formatCode="[&gt;=1000000]\ #,##0.0,,&quot;M&quot;;[&lt;1000000]\ #,##0.0,&quot;K&quot;;General"/>
    <numFmt numFmtId="166" formatCode="0.0%"/>
    <numFmt numFmtId="167" formatCode="_-* #,##0_-;\-* #,##0_-;_-* &quot;-&quot;??_-;_-@_-"/>
    <numFmt numFmtId="168" formatCode="[&gt;=1000000]\ #,##0.0,,&quot;M&quot;;[&lt;1000000]\ #,##0,&quot;K&quot;;General"/>
    <numFmt numFmtId="169" formatCode="#,##0_ ;\-#,##0\ "/>
    <numFmt numFmtId="170" formatCode="[&gt;=1000000]\ #,##0,,&quot;M&quot;;[&lt;1000000]\ #,##0,&quot;K&quot;;General"/>
    <numFmt numFmtId="171" formatCode="#,##0.0,,&quot;M&quot;\ ;;"/>
    <numFmt numFmtId="172" formatCode="#,##0.00,,&quot;M&quot;\ ;;"/>
    <numFmt numFmtId="173" formatCode="[$-409]mmmm\-yy;@"/>
    <numFmt numFmtId="174" formatCode="#,##0.0,,\ ;;"/>
    <numFmt numFmtId="175" formatCode="#,##0.0,,&quot;M&quot;\ ;;\-;"/>
    <numFmt numFmtId="176" formatCode="0%\ &quot;F&quot;"/>
    <numFmt numFmtId="177" formatCode="0%\ &quot;M&quot;"/>
    <numFmt numFmtId="178" formatCode="#,##0.0,,&quot;M&quot;\ ;;&quot;-&quot;;"/>
  </numFmts>
  <fonts count="3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</font>
    <font>
      <sz val="22"/>
      <color theme="1"/>
      <name val="Calibri"/>
      <family val="2"/>
    </font>
    <font>
      <sz val="11"/>
      <color theme="1" tint="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rgb="FF026CB6"/>
      <name val="Calibri"/>
      <family val="2"/>
      <scheme val="minor"/>
    </font>
    <font>
      <sz val="48"/>
      <color rgb="FF026CB6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6DCFF6"/>
      <name val="Wingdings 2"/>
      <family val="1"/>
      <charset val="2"/>
    </font>
    <font>
      <sz val="11"/>
      <color rgb="FF6DCFF6"/>
      <name val="Calibri"/>
      <family val="2"/>
      <scheme val="minor"/>
    </font>
    <font>
      <sz val="11"/>
      <color rgb="FF026CB6"/>
      <name val="Wingdings 2"/>
      <family val="1"/>
      <charset val="2"/>
    </font>
    <font>
      <sz val="11"/>
      <color rgb="FF026CB6"/>
      <name val="Calibri"/>
      <family val="2"/>
      <scheme val="minor"/>
    </font>
    <font>
      <sz val="11"/>
      <color theme="1" tint="0.249977111117893"/>
      <name val="Calibri"/>
      <family val="2"/>
    </font>
    <font>
      <sz val="11"/>
      <color theme="1"/>
      <name val="Avenir Next Condensed"/>
      <family val="2"/>
    </font>
    <font>
      <b/>
      <sz val="9"/>
      <color rgb="FF0070C0"/>
      <name val="Avenir Next Condensed"/>
      <family val="2"/>
    </font>
    <font>
      <sz val="8"/>
      <color rgb="FF7F7F7F"/>
      <name val="Avenir Next"/>
      <family val="2"/>
    </font>
    <font>
      <sz val="11"/>
      <color rgb="FF0070C0"/>
      <name val="Avenir Next Condensed"/>
      <family val="2"/>
    </font>
    <font>
      <b/>
      <sz val="11"/>
      <color theme="0"/>
      <name val="Avenir Next"/>
      <family val="2"/>
    </font>
    <font>
      <sz val="10"/>
      <color theme="0"/>
      <name val="Avenir Next"/>
      <family val="2"/>
    </font>
    <font>
      <b/>
      <sz val="12"/>
      <color theme="0"/>
      <name val="Avenir Next"/>
      <family val="2"/>
    </font>
    <font>
      <sz val="10"/>
      <color theme="1" tint="0.34998626667073579"/>
      <name val="Calibri"/>
      <family val="2"/>
      <scheme val="minor"/>
    </font>
    <font>
      <sz val="12"/>
      <color theme="1"/>
      <name val="Avenir Next Condensed"/>
      <family val="2"/>
    </font>
  </fonts>
  <fills count="13">
    <fill>
      <patternFill patternType="none"/>
    </fill>
    <fill>
      <patternFill patternType="gray125"/>
    </fill>
    <fill>
      <patternFill patternType="solid">
        <fgColor rgb="FFE6E7E8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E5FA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6CB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1" tint="0.249977111117893"/>
      </right>
      <top/>
      <bottom/>
      <diagonal/>
    </border>
    <border>
      <left/>
      <right style="thin">
        <color theme="1" tint="0.249977111117893"/>
      </right>
      <top/>
      <bottom style="thin">
        <color theme="1" tint="0.34998626667073579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thin">
        <color theme="0" tint="-0.14999847407452621"/>
      </bottom>
      <diagonal/>
    </border>
    <border>
      <left style="thin">
        <color theme="1" tint="0.249977111117893"/>
      </left>
      <right/>
      <top style="thin">
        <color theme="0" tint="-0.14999847407452621"/>
      </top>
      <bottom/>
      <diagonal/>
    </border>
    <border>
      <left/>
      <right/>
      <top/>
      <bottom style="thin">
        <color rgb="FF595959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/>
      <diagonal/>
    </border>
    <border>
      <left style="thin">
        <color indexed="64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thin">
        <color rgb="FF005CB8"/>
      </left>
      <right/>
      <top/>
      <bottom/>
      <diagonal/>
    </border>
    <border>
      <left/>
      <right/>
      <top/>
      <bottom style="thin">
        <color rgb="FF005CB8"/>
      </bottom>
      <diagonal/>
    </border>
    <border>
      <left style="thin">
        <color rgb="FF005CB8"/>
      </left>
      <right style="hair">
        <color rgb="FF005CB8"/>
      </right>
      <top/>
      <bottom/>
      <diagonal/>
    </border>
    <border>
      <left style="thin">
        <color rgb="FF005CB8"/>
      </left>
      <right style="hair">
        <color rgb="FF005CB8"/>
      </right>
      <top/>
      <bottom style="thin">
        <color rgb="FF005CB8"/>
      </bottom>
      <diagonal/>
    </border>
    <border>
      <left style="hair">
        <color rgb="FF005CB8"/>
      </left>
      <right style="hair">
        <color rgb="FF005CB8"/>
      </right>
      <top/>
      <bottom/>
      <diagonal/>
    </border>
    <border>
      <left style="hair">
        <color rgb="FF005CB8"/>
      </left>
      <right style="hair">
        <color rgb="FF005CB8"/>
      </right>
      <top/>
      <bottom style="thin">
        <color rgb="FF005CB8"/>
      </bottom>
      <diagonal/>
    </border>
    <border>
      <left/>
      <right style="hair">
        <color rgb="FF005CB8"/>
      </right>
      <top/>
      <bottom/>
      <diagonal/>
    </border>
    <border>
      <left/>
      <right style="hair">
        <color rgb="FF005CB8"/>
      </right>
      <top/>
      <bottom style="thin">
        <color rgb="FF005CB8"/>
      </bottom>
      <diagonal/>
    </border>
    <border>
      <left/>
      <right/>
      <top/>
      <bottom style="hair">
        <color rgb="FF005CB8"/>
      </bottom>
      <diagonal/>
    </border>
    <border>
      <left style="thin">
        <color rgb="FF005CB8"/>
      </left>
      <right style="hair">
        <color rgb="FF005CB8"/>
      </right>
      <top/>
      <bottom style="hair">
        <color rgb="FF005CB8"/>
      </bottom>
      <diagonal/>
    </border>
    <border>
      <left style="hair">
        <color rgb="FF005CB8"/>
      </left>
      <right style="hair">
        <color rgb="FF005CB8"/>
      </right>
      <top/>
      <bottom style="hair">
        <color rgb="FF005CB8"/>
      </bottom>
      <diagonal/>
    </border>
    <border>
      <left/>
      <right style="hair">
        <color rgb="FF005CB8"/>
      </right>
      <top/>
      <bottom style="hair">
        <color rgb="FF005CB8"/>
      </bottom>
      <diagonal/>
    </border>
    <border>
      <left style="thin">
        <color theme="0"/>
      </left>
      <right style="hair">
        <color rgb="FF005CB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3" fontId="0" fillId="0" borderId="0" xfId="0" applyNumberFormat="1"/>
    <xf numFmtId="0" fontId="0" fillId="0" borderId="0" xfId="0" applyAlignment="1"/>
    <xf numFmtId="0" fontId="0" fillId="0" borderId="0" xfId="0" applyBorder="1"/>
    <xf numFmtId="0" fontId="0" fillId="2" borderId="0" xfId="0" applyFill="1"/>
    <xf numFmtId="0" fontId="0" fillId="2" borderId="0" xfId="0" applyFill="1" applyAlignment="1"/>
    <xf numFmtId="0" fontId="0" fillId="3" borderId="4" xfId="0" applyFill="1" applyBorder="1"/>
    <xf numFmtId="0" fontId="0" fillId="0" borderId="0" xfId="0" applyAlignment="1">
      <alignment horizontal="center"/>
    </xf>
    <xf numFmtId="166" fontId="6" fillId="4" borderId="0" xfId="1" applyNumberFormat="1" applyFont="1" applyFill="1" applyAlignment="1">
      <alignment horizontal="center"/>
    </xf>
    <xf numFmtId="167" fontId="6" fillId="0" borderId="0" xfId="2" applyNumberFormat="1" applyFont="1"/>
    <xf numFmtId="0" fontId="0" fillId="0" borderId="5" xfId="0" applyBorder="1"/>
    <xf numFmtId="0" fontId="0" fillId="5" borderId="0" xfId="0" applyFill="1" applyAlignment="1">
      <alignment horizontal="center"/>
    </xf>
    <xf numFmtId="3" fontId="12" fillId="0" borderId="0" xfId="0" applyNumberFormat="1" applyFont="1" applyFill="1" applyAlignment="1">
      <alignment horizontal="right"/>
    </xf>
    <xf numFmtId="0" fontId="11" fillId="0" borderId="0" xfId="0" applyFont="1" applyBorder="1"/>
    <xf numFmtId="3" fontId="12" fillId="0" borderId="7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167" fontId="6" fillId="0" borderId="7" xfId="2" applyNumberFormat="1" applyFont="1" applyFill="1" applyBorder="1" applyAlignment="1">
      <alignment horizontal="right"/>
    </xf>
    <xf numFmtId="167" fontId="6" fillId="0" borderId="0" xfId="2" applyNumberFormat="1" applyFont="1" applyFill="1" applyAlignment="1">
      <alignment horizontal="right"/>
    </xf>
    <xf numFmtId="0" fontId="13" fillId="0" borderId="0" xfId="0" applyFont="1" applyAlignment="1">
      <alignment horizontal="center"/>
    </xf>
    <xf numFmtId="0" fontId="15" fillId="0" borderId="5" xfId="0" applyFont="1" applyBorder="1"/>
    <xf numFmtId="0" fontId="14" fillId="0" borderId="5" xfId="0" applyFont="1" applyBorder="1" applyAlignme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5" xfId="0" applyBorder="1" applyAlignment="1">
      <alignment horizontal="center" wrapText="1"/>
    </xf>
    <xf numFmtId="169" fontId="4" fillId="0" borderId="0" xfId="2" applyNumberFormat="1" applyFont="1" applyAlignment="1">
      <alignment horizontal="center" vertical="center"/>
    </xf>
    <xf numFmtId="14" fontId="6" fillId="0" borderId="0" xfId="0" applyNumberFormat="1" applyFont="1"/>
    <xf numFmtId="9" fontId="0" fillId="0" borderId="0" xfId="1" applyFont="1"/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17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7" borderId="0" xfId="0" applyFill="1"/>
    <xf numFmtId="167" fontId="6" fillId="0" borderId="0" xfId="2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7" fontId="0" fillId="0" borderId="5" xfId="2" applyNumberFormat="1" applyFont="1" applyFill="1" applyBorder="1" applyAlignment="1">
      <alignment horizontal="right"/>
    </xf>
    <xf numFmtId="167" fontId="6" fillId="4" borderId="0" xfId="2" applyNumberFormat="1" applyFont="1" applyFill="1"/>
    <xf numFmtId="167" fontId="6" fillId="0" borderId="0" xfId="2" applyNumberFormat="1" applyFont="1" applyAlignment="1">
      <alignment horizontal="left"/>
    </xf>
    <xf numFmtId="0" fontId="0" fillId="0" borderId="0" xfId="0" applyAlignment="1">
      <alignment vertical="center"/>
    </xf>
    <xf numFmtId="167" fontId="0" fillId="4" borderId="5" xfId="2" applyNumberFormat="1" applyFont="1" applyFill="1" applyBorder="1" applyAlignment="1">
      <alignment vertical="center"/>
    </xf>
    <xf numFmtId="167" fontId="20" fillId="8" borderId="5" xfId="2" applyNumberFormat="1" applyFont="1" applyFill="1" applyBorder="1" applyAlignment="1">
      <alignment vertical="center"/>
    </xf>
    <xf numFmtId="166" fontId="20" fillId="8" borderId="5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167" fontId="6" fillId="0" borderId="0" xfId="2" applyNumberFormat="1" applyFont="1" applyAlignment="1">
      <alignment vertical="top"/>
    </xf>
    <xf numFmtId="166" fontId="6" fillId="4" borderId="0" xfId="1" applyNumberFormat="1" applyFont="1" applyFill="1" applyAlignment="1">
      <alignment horizontal="center" vertical="top"/>
    </xf>
    <xf numFmtId="167" fontId="6" fillId="0" borderId="3" xfId="2" applyNumberFormat="1" applyFont="1" applyBorder="1" applyAlignment="1">
      <alignment vertical="top"/>
    </xf>
    <xf numFmtId="167" fontId="6" fillId="4" borderId="3" xfId="2" applyNumberFormat="1" applyFont="1" applyFill="1" applyBorder="1" applyAlignment="1">
      <alignment vertical="top"/>
    </xf>
    <xf numFmtId="166" fontId="6" fillId="4" borderId="3" xfId="1" applyNumberFormat="1" applyFont="1" applyFill="1" applyBorder="1" applyAlignment="1">
      <alignment horizontal="center" vertical="top"/>
    </xf>
    <xf numFmtId="167" fontId="6" fillId="0" borderId="8" xfId="2" applyNumberFormat="1" applyFont="1" applyBorder="1"/>
    <xf numFmtId="170" fontId="10" fillId="0" borderId="2" xfId="0" applyNumberFormat="1" applyFont="1" applyFill="1" applyBorder="1" applyAlignment="1">
      <alignment vertical="center"/>
    </xf>
    <xf numFmtId="170" fontId="10" fillId="0" borderId="0" xfId="0" applyNumberFormat="1" applyFont="1" applyFill="1" applyAlignment="1">
      <alignment vertical="center"/>
    </xf>
    <xf numFmtId="170" fontId="10" fillId="0" borderId="3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172" fontId="4" fillId="0" borderId="0" xfId="2" applyNumberFormat="1" applyFont="1" applyAlignment="1">
      <alignment horizontal="center" vertical="center"/>
    </xf>
    <xf numFmtId="172" fontId="4" fillId="0" borderId="10" xfId="2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171" fontId="4" fillId="9" borderId="12" xfId="2" applyNumberFormat="1" applyFont="1" applyFill="1" applyBorder="1" applyAlignment="1">
      <alignment horizontal="center" vertical="center"/>
    </xf>
    <xf numFmtId="171" fontId="4" fillId="9" borderId="13" xfId="2" applyNumberFormat="1" applyFont="1" applyFill="1" applyBorder="1" applyAlignment="1">
      <alignment horizontal="center" vertical="center"/>
    </xf>
    <xf numFmtId="171" fontId="4" fillId="9" borderId="14" xfId="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3" fontId="4" fillId="0" borderId="0" xfId="0" applyNumberFormat="1" applyFont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4" fontId="4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9" fontId="26" fillId="0" borderId="0" xfId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75" fontId="4" fillId="0" borderId="0" xfId="2" applyNumberFormat="1" applyFont="1" applyAlignment="1">
      <alignment horizontal="center" vertical="center"/>
    </xf>
    <xf numFmtId="0" fontId="0" fillId="0" borderId="15" xfId="0" applyFill="1" applyBorder="1" applyAlignment="1">
      <alignment horizontal="center" wrapText="1"/>
    </xf>
    <xf numFmtId="176" fontId="26" fillId="0" borderId="0" xfId="1" applyNumberFormat="1" applyFont="1" applyAlignment="1">
      <alignment horizontal="center" vertical="center"/>
    </xf>
    <xf numFmtId="177" fontId="26" fillId="0" borderId="0" xfId="1" applyNumberFormat="1" applyFont="1" applyAlignment="1">
      <alignment horizontal="center" vertical="center"/>
    </xf>
    <xf numFmtId="0" fontId="0" fillId="10" borderId="20" xfId="0" applyFill="1" applyBorder="1" applyAlignment="1">
      <alignment vertical="center" wrapText="1"/>
    </xf>
    <xf numFmtId="0" fontId="29" fillId="10" borderId="19" xfId="0" applyFont="1" applyFill="1" applyBorder="1" applyAlignment="1">
      <alignment horizontal="center" vertical="center" wrapText="1"/>
    </xf>
    <xf numFmtId="0" fontId="0" fillId="10" borderId="23" xfId="0" applyFill="1" applyBorder="1" applyAlignment="1">
      <alignment vertical="center" wrapText="1"/>
    </xf>
    <xf numFmtId="0" fontId="28" fillId="10" borderId="21" xfId="0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30" fillId="10" borderId="17" xfId="0" applyFont="1" applyFill="1" applyBorder="1" applyAlignment="1">
      <alignment horizontal="center" textRotation="90" wrapText="1"/>
    </xf>
    <xf numFmtId="0" fontId="28" fillId="10" borderId="16" xfId="0" applyFont="1" applyFill="1" applyBorder="1" applyAlignment="1">
      <alignment horizontal="center" vertical="center" wrapText="1"/>
    </xf>
    <xf numFmtId="0" fontId="30" fillId="10" borderId="25" xfId="0" applyFont="1" applyFill="1" applyBorder="1" applyAlignment="1">
      <alignment horizontal="center" textRotation="90" wrapText="1"/>
    </xf>
    <xf numFmtId="0" fontId="0" fillId="11" borderId="25" xfId="0" applyFont="1" applyFill="1" applyBorder="1" applyAlignment="1">
      <alignment vertical="center" wrapText="1"/>
    </xf>
    <xf numFmtId="0" fontId="0" fillId="10" borderId="25" xfId="0" applyFill="1" applyBorder="1" applyAlignment="1">
      <alignment vertical="center" wrapText="1"/>
    </xf>
    <xf numFmtId="0" fontId="0" fillId="10" borderId="25" xfId="0" applyFont="1" applyFill="1" applyBorder="1" applyAlignment="1">
      <alignment vertical="center" wrapText="1"/>
    </xf>
    <xf numFmtId="0" fontId="0" fillId="10" borderId="22" xfId="0" applyFont="1" applyFill="1" applyBorder="1" applyAlignment="1">
      <alignment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28" xfId="0" applyFont="1" applyBorder="1" applyAlignment="1">
      <alignment vertical="center"/>
    </xf>
    <xf numFmtId="10" fontId="2" fillId="0" borderId="28" xfId="0" applyNumberFormat="1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2" fillId="0" borderId="30" xfId="0" applyFont="1" applyBorder="1" applyAlignment="1">
      <alignment vertical="center"/>
    </xf>
    <xf numFmtId="10" fontId="2" fillId="0" borderId="30" xfId="0" applyNumberFormat="1" applyFont="1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2" fillId="0" borderId="32" xfId="0" applyFont="1" applyBorder="1" applyAlignment="1">
      <alignment vertical="center"/>
    </xf>
    <xf numFmtId="10" fontId="2" fillId="0" borderId="32" xfId="0" applyNumberFormat="1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0" fillId="0" borderId="34" xfId="0" applyBorder="1"/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171" fontId="4" fillId="0" borderId="0" xfId="2" applyNumberFormat="1" applyFont="1" applyAlignment="1">
      <alignment horizontal="center" vertical="center"/>
    </xf>
    <xf numFmtId="0" fontId="0" fillId="12" borderId="0" xfId="0" applyFill="1"/>
    <xf numFmtId="0" fontId="0" fillId="12" borderId="26" xfId="0" applyFill="1" applyBorder="1"/>
    <xf numFmtId="0" fontId="0" fillId="12" borderId="30" xfId="0" applyFill="1" applyBorder="1"/>
    <xf numFmtId="0" fontId="0" fillId="12" borderId="32" xfId="0" applyFill="1" applyBorder="1"/>
    <xf numFmtId="0" fontId="2" fillId="12" borderId="30" xfId="0" applyFont="1" applyFill="1" applyBorder="1" applyAlignment="1">
      <alignment vertical="center"/>
    </xf>
    <xf numFmtId="0" fontId="2" fillId="12" borderId="32" xfId="0" applyFont="1" applyFill="1" applyBorder="1" applyAlignment="1">
      <alignment vertical="center"/>
    </xf>
    <xf numFmtId="0" fontId="2" fillId="12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10" fontId="2" fillId="12" borderId="30" xfId="0" applyNumberFormat="1" applyFont="1" applyFill="1" applyBorder="1" applyAlignment="1">
      <alignment vertical="center"/>
    </xf>
    <xf numFmtId="10" fontId="2" fillId="12" borderId="32" xfId="0" applyNumberFormat="1" applyFont="1" applyFill="1" applyBorder="1" applyAlignment="1">
      <alignment vertical="center"/>
    </xf>
    <xf numFmtId="10" fontId="2" fillId="12" borderId="0" xfId="0" applyNumberFormat="1" applyFont="1" applyFill="1" applyAlignment="1">
      <alignment vertical="center"/>
    </xf>
    <xf numFmtId="0" fontId="0" fillId="12" borderId="38" xfId="0" applyFill="1" applyBorder="1"/>
    <xf numFmtId="0" fontId="2" fillId="12" borderId="38" xfId="0" applyFont="1" applyFill="1" applyBorder="1" applyAlignment="1">
      <alignment vertical="center"/>
    </xf>
    <xf numFmtId="10" fontId="2" fillId="12" borderId="38" xfId="0" applyNumberFormat="1" applyFont="1" applyFill="1" applyBorder="1" applyAlignment="1">
      <alignment vertical="center"/>
    </xf>
    <xf numFmtId="178" fontId="4" fillId="0" borderId="0" xfId="2" applyNumberFormat="1" applyFont="1" applyAlignment="1">
      <alignment horizontal="center" vertical="center"/>
    </xf>
    <xf numFmtId="172" fontId="31" fillId="12" borderId="38" xfId="0" applyNumberFormat="1" applyFont="1" applyFill="1" applyBorder="1" applyAlignment="1">
      <alignment horizontal="center"/>
    </xf>
    <xf numFmtId="172" fontId="31" fillId="12" borderId="0" xfId="0" applyNumberFormat="1" applyFont="1" applyFill="1" applyAlignment="1">
      <alignment horizontal="center"/>
    </xf>
    <xf numFmtId="0" fontId="31" fillId="12" borderId="0" xfId="0" applyFont="1" applyFill="1" applyAlignment="1">
      <alignment horizontal="right"/>
    </xf>
    <xf numFmtId="9" fontId="31" fillId="12" borderId="0" xfId="1" applyFont="1" applyFill="1" applyAlignment="1">
      <alignment horizontal="center"/>
    </xf>
    <xf numFmtId="0" fontId="32" fillId="12" borderId="0" xfId="0" applyFont="1" applyFill="1"/>
    <xf numFmtId="0" fontId="1" fillId="12" borderId="0" xfId="0" applyFont="1" applyFill="1" applyBorder="1" applyAlignment="1">
      <alignment vertical="center"/>
    </xf>
    <xf numFmtId="0" fontId="1" fillId="12" borderId="38" xfId="0" applyFont="1" applyFill="1" applyBorder="1" applyAlignment="1">
      <alignment vertical="center"/>
    </xf>
    <xf numFmtId="0" fontId="1" fillId="12" borderId="30" xfId="0" applyFont="1" applyFill="1" applyBorder="1" applyAlignment="1">
      <alignment vertical="center"/>
    </xf>
    <xf numFmtId="0" fontId="1" fillId="12" borderId="32" xfId="0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0" fontId="0" fillId="12" borderId="0" xfId="0" applyFill="1" applyBorder="1"/>
    <xf numFmtId="0" fontId="0" fillId="11" borderId="0" xfId="0" applyFill="1"/>
    <xf numFmtId="0" fontId="33" fillId="12" borderId="0" xfId="0" applyFont="1" applyFill="1"/>
    <xf numFmtId="173" fontId="26" fillId="0" borderId="0" xfId="0" applyNumberFormat="1" applyFont="1" applyAlignment="1">
      <alignment horizontal="right" vertical="center"/>
    </xf>
    <xf numFmtId="171" fontId="26" fillId="0" borderId="0" xfId="2" applyNumberFormat="1" applyFont="1" applyFill="1" applyAlignment="1">
      <alignment horizontal="center" vertical="center"/>
    </xf>
    <xf numFmtId="171" fontId="26" fillId="0" borderId="0" xfId="2" applyNumberFormat="1" applyFont="1" applyAlignment="1">
      <alignment horizontal="center" vertical="center"/>
    </xf>
    <xf numFmtId="0" fontId="0" fillId="11" borderId="40" xfId="0" applyFont="1" applyFill="1" applyBorder="1"/>
    <xf numFmtId="0" fontId="35" fillId="11" borderId="40" xfId="0" applyFont="1" applyFill="1" applyBorder="1"/>
    <xf numFmtId="0" fontId="0" fillId="11" borderId="39" xfId="0" applyFill="1" applyBorder="1"/>
    <xf numFmtId="0" fontId="16" fillId="0" borderId="0" xfId="0" applyFont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68" fontId="9" fillId="2" borderId="0" xfId="0" applyNumberFormat="1" applyFont="1" applyFill="1" applyAlignment="1">
      <alignment horizontal="left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9" fillId="6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8" fontId="9" fillId="0" borderId="0" xfId="0" applyNumberFormat="1" applyFont="1" applyAlignment="1">
      <alignment horizontal="center"/>
    </xf>
    <xf numFmtId="0" fontId="7" fillId="7" borderId="2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168" fontId="9" fillId="7" borderId="0" xfId="0" applyNumberFormat="1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0" fillId="4" borderId="0" xfId="0" applyNumberFormat="1" applyFill="1" applyAlignment="1">
      <alignment horizontal="center"/>
    </xf>
    <xf numFmtId="168" fontId="34" fillId="7" borderId="9" xfId="0" applyNumberFormat="1" applyFont="1" applyFill="1" applyBorder="1" applyAlignment="1">
      <alignment horizontal="right" vertical="center"/>
    </xf>
    <xf numFmtId="168" fontId="34" fillId="7" borderId="0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top"/>
    </xf>
    <xf numFmtId="167" fontId="0" fillId="4" borderId="5" xfId="2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5" fontId="10" fillId="0" borderId="2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22" fillId="7" borderId="9" xfId="0" applyFont="1" applyFill="1" applyBorder="1" applyAlignment="1">
      <alignment horizontal="center"/>
    </xf>
    <xf numFmtId="0" fontId="23" fillId="7" borderId="0" xfId="0" applyFont="1" applyFill="1" applyAlignment="1">
      <alignment horizontal="center"/>
    </xf>
    <xf numFmtId="168" fontId="21" fillId="7" borderId="9" xfId="0" applyNumberFormat="1" applyFont="1" applyFill="1" applyBorder="1" applyAlignment="1">
      <alignment horizontal="left"/>
    </xf>
    <xf numFmtId="168" fontId="21" fillId="7" borderId="0" xfId="0" applyNumberFormat="1" applyFont="1" applyFill="1" applyBorder="1" applyAlignment="1">
      <alignment horizontal="left"/>
    </xf>
    <xf numFmtId="168" fontId="34" fillId="7" borderId="0" xfId="0" applyNumberFormat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 wrapText="1"/>
    </xf>
    <xf numFmtId="168" fontId="34" fillId="7" borderId="9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170" fontId="10" fillId="0" borderId="2" xfId="0" applyNumberFormat="1" applyFont="1" applyFill="1" applyBorder="1" applyAlignment="1">
      <alignment horizontal="right" vertical="center"/>
    </xf>
    <xf numFmtId="170" fontId="10" fillId="0" borderId="0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right" vertical="center"/>
    </xf>
    <xf numFmtId="0" fontId="24" fillId="7" borderId="9" xfId="0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168" fontId="34" fillId="7" borderId="0" xfId="0" applyNumberFormat="1" applyFont="1" applyFill="1" applyBorder="1" applyAlignment="1">
      <alignment horizontal="right"/>
    </xf>
    <xf numFmtId="168" fontId="21" fillId="7" borderId="0" xfId="0" applyNumberFormat="1" applyFont="1" applyFill="1" applyBorder="1" applyAlignment="1">
      <alignment horizontal="left" vertical="center"/>
    </xf>
    <xf numFmtId="0" fontId="28" fillId="10" borderId="16" xfId="0" applyFont="1" applyFill="1" applyBorder="1" applyAlignment="1">
      <alignment horizontal="center" vertical="center" wrapText="1"/>
    </xf>
    <xf numFmtId="0" fontId="28" fillId="10" borderId="17" xfId="0" applyFont="1" applyFill="1" applyBorder="1" applyAlignment="1">
      <alignment horizontal="center" vertical="center" wrapText="1"/>
    </xf>
    <xf numFmtId="0" fontId="28" fillId="10" borderId="24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 wrapText="1"/>
    </xf>
    <xf numFmtId="0" fontId="27" fillId="10" borderId="16" xfId="0" applyFont="1" applyFill="1" applyBorder="1" applyAlignment="1">
      <alignment horizontal="center" vertical="center" wrapText="1"/>
    </xf>
    <xf numFmtId="0" fontId="27" fillId="10" borderId="17" xfId="0" applyFont="1" applyFill="1" applyBorder="1" applyAlignment="1">
      <alignment horizontal="center" vertical="center" wrapText="1"/>
    </xf>
    <xf numFmtId="0" fontId="27" fillId="10" borderId="24" xfId="0" applyFont="1" applyFill="1" applyBorder="1" applyAlignment="1">
      <alignment horizontal="center" vertical="center" wrapText="1"/>
    </xf>
    <xf numFmtId="0" fontId="27" fillId="10" borderId="22" xfId="0" applyFont="1" applyFill="1" applyBorder="1" applyAlignment="1">
      <alignment horizontal="center" vertical="center" wrapText="1"/>
    </xf>
    <xf numFmtId="0" fontId="27" fillId="10" borderId="18" xfId="0" applyFont="1" applyFill="1" applyBorder="1" applyAlignment="1">
      <alignment horizontal="center" vertical="center" wrapText="1"/>
    </xf>
    <xf numFmtId="0" fontId="27" fillId="10" borderId="19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105">
    <dxf>
      <font>
        <color theme="0"/>
      </font>
      <fill>
        <patternFill>
          <bgColor rgb="FFC7D6EE"/>
        </patternFill>
      </fill>
    </dxf>
    <dxf>
      <font>
        <color theme="0"/>
      </font>
      <fill>
        <patternFill>
          <bgColor rgb="FF95B6DF"/>
        </patternFill>
      </fill>
    </dxf>
    <dxf>
      <font>
        <color theme="0"/>
      </font>
      <fill>
        <patternFill>
          <bgColor rgb="FF659AD2"/>
        </patternFill>
      </fill>
    </dxf>
    <dxf>
      <font>
        <color theme="0"/>
      </font>
      <fill>
        <patternFill>
          <bgColor rgb="FF003469"/>
        </patternFill>
      </fill>
    </dxf>
    <dxf>
      <font>
        <color theme="0"/>
      </font>
      <fill>
        <patternFill>
          <bgColor rgb="FF005CB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1" formatCode="#,##0.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1" formatCode="#,##0.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1" formatCode="#,##0.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1" formatCode="#,##0.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1" formatCode="#,##0.0,,&quot;M&quot;\ ;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1" formatCode="#,##0.0,,&quot;M&quot;\ ;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3" formatCode="[$-409]mmmm\-yy;@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3" formatCode="[$-409]mmmm\-yy;@"/>
      <alignment horizontal="right" vertical="center" textRotation="0" wrapText="0" indent="0" justifyLastLine="0" shrinkToFit="0" readingOrder="0"/>
    </dxf>
    <dxf>
      <border outline="0">
        <bottom style="thin">
          <color theme="1" tint="0.34998626667073579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6DCFF6"/>
        </patternFill>
      </fill>
    </dxf>
    <dxf>
      <fill>
        <patternFill>
          <bgColor rgb="FF026CB6"/>
        </patternFill>
      </fill>
    </dxf>
    <dxf>
      <fill>
        <patternFill>
          <bgColor rgb="FF6DCFF6"/>
        </patternFill>
      </fill>
    </dxf>
    <dxf>
      <fill>
        <patternFill>
          <bgColor rgb="FF026CB6"/>
        </patternFill>
      </fill>
    </dxf>
    <dxf>
      <fill>
        <patternFill>
          <bgColor rgb="FF6DCFF6"/>
        </patternFill>
      </fill>
    </dxf>
    <dxf>
      <fill>
        <patternFill>
          <bgColor rgb="FF026CB6"/>
        </patternFill>
      </fill>
    </dxf>
    <dxf>
      <fill>
        <patternFill>
          <bgColor rgb="FF026CB6"/>
        </patternFill>
      </fill>
    </dxf>
    <dxf>
      <fill>
        <patternFill>
          <bgColor rgb="FF026CB6"/>
        </patternFill>
      </fill>
    </dxf>
    <dxf>
      <fill>
        <patternFill>
          <bgColor rgb="FF026CB6"/>
        </patternFill>
      </fill>
    </dxf>
    <dxf>
      <fill>
        <patternFill>
          <bgColor rgb="FF026CB6"/>
        </patternFill>
      </fill>
    </dxf>
    <dxf>
      <fill>
        <patternFill>
          <bgColor rgb="FF026CB6"/>
        </patternFill>
      </fill>
    </dxf>
    <dxf>
      <fill>
        <patternFill>
          <bgColor rgb="FF026CB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scheme val="none"/>
      </font>
      <numFmt numFmtId="177" formatCode="0%\ &quot;M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6" formatCode="0%\ &quot;F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1" formatCode="#,##0.0,,&quot;M&quot;\ ;;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  <border diagonalUp="0" diagonalDown="0">
        <left/>
        <right style="thin">
          <color theme="1" tint="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595959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595959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1" formatCode="#,##0.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1" formatCode="#,##0.0,,&quot;M&quot;\ ;;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  <border diagonalUp="0" diagonalDown="0">
        <left/>
        <right style="thin">
          <color theme="1" tint="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595959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595959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1" formatCode="#,##0.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1" formatCode="#,##0.0,,&quot;M&quot;\ ;;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  <border diagonalUp="0" diagonalDown="0">
        <left/>
        <right style="thin">
          <color theme="1" tint="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2" formatCode="#,##0.00,,&quot;M&quot;\ ;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theme="1" tint="0.34998626667073579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numFmt numFmtId="175" formatCode="#,##0.0,,&quot;M&quot;\ ;;\-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theme="1" tint="0.34998626667073579"/>
        </bottom>
      </border>
    </dxf>
    <dxf>
      <alignment horizontal="center" vertical="bottom" textRotation="0" wrapText="1" indent="0" justifyLastLine="0" shrinkToFit="0" readingOrder="0"/>
    </dxf>
    <dxf>
      <font>
        <color theme="1" tint="0.24994659260841701"/>
      </font>
      <fill>
        <patternFill patternType="none">
          <bgColor auto="1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font>
        <color auto="1"/>
      </font>
      <border>
        <bottom style="thin">
          <color theme="1" tint="0.24994659260841701"/>
        </bottom>
      </border>
    </dxf>
  </dxfs>
  <tableStyles count="1" defaultTableStyle="TableStyleMedium2" defaultPivotStyle="PivotStyleLight16">
    <tableStyle name="Table Style 1" pivot="0" count="3">
      <tableStyleElement type="headerRow" dxfId="104"/>
      <tableStyleElement type="firstRowStripe" dxfId="103"/>
      <tableStyleElement type="secondRowStripe" dxfId="102"/>
    </tableStyle>
  </tableStyles>
  <colors>
    <mruColors>
      <color rgb="FF005CB8"/>
      <color rgb="FF6DCFF6"/>
      <color rgb="FF00467C"/>
      <color rgb="FF026CB6"/>
      <color rgb="FF58595B"/>
      <color rgb="FF003469"/>
      <color rgb="FF659AD2"/>
      <color rgb="FF95B6DF"/>
      <color rgb="FFC7D6EE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1033043946429"/>
          <c:y val="0.13480403778283245"/>
          <c:w val="0.79618529359222767"/>
          <c:h val="0.84056048838152941"/>
        </c:manualLayout>
      </c:layout>
      <c:bubbleChart>
        <c:varyColors val="0"/>
        <c:ser>
          <c:idx val="0"/>
          <c:order val="0"/>
          <c:tx>
            <c:v>matrix data</c:v>
          </c:tx>
          <c:spPr>
            <a:solidFill>
              <a:srgbClr val="B9E5FA"/>
            </a:solidFill>
            <a:ln>
              <a:noFill/>
            </a:ln>
          </c:spPr>
          <c:invertIfNegative val="0"/>
          <c:dLbls>
            <c:numFmt formatCode="#,##0.0,,&quot;M&quot;\ ;;\-;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venir Next Condensed" panose="020B0506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[0]!arr_x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xVal>
          <c:yVal>
            <c:numRef>
              <c:f>[0]!arr_y</c:f>
              <c:numCache>
                <c:formatCode>General</c:formatCode>
                <c:ptCount val="5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</c:numCache>
            </c:numRef>
          </c:yVal>
          <c:bubbleSize>
            <c:numRef>
              <c:f>[0]!arr_h</c:f>
              <c:numCache>
                <c:formatCode>General</c:formatCode>
                <c:ptCount val="54"/>
                <c:pt idx="0">
                  <c:v>600000</c:v>
                </c:pt>
                <c:pt idx="1">
                  <c:v>300000</c:v>
                </c:pt>
                <c:pt idx="2">
                  <c:v>200000</c:v>
                </c:pt>
                <c:pt idx="3">
                  <c:v>200000</c:v>
                </c:pt>
                <c:pt idx="4">
                  <c:v>100000</c:v>
                </c:pt>
                <c:pt idx="5">
                  <c:v>100000</c:v>
                </c:pt>
                <c:pt idx="6">
                  <c:v>500000</c:v>
                </c:pt>
                <c:pt idx="7">
                  <c:v>300000</c:v>
                </c:pt>
                <c:pt idx="8">
                  <c:v>200000</c:v>
                </c:pt>
                <c:pt idx="9">
                  <c:v>0</c:v>
                </c:pt>
                <c:pt idx="10">
                  <c:v>200000</c:v>
                </c:pt>
                <c:pt idx="11">
                  <c:v>0</c:v>
                </c:pt>
                <c:pt idx="12">
                  <c:v>400000</c:v>
                </c:pt>
                <c:pt idx="13">
                  <c:v>200000</c:v>
                </c:pt>
                <c:pt idx="14">
                  <c:v>100000</c:v>
                </c:pt>
                <c:pt idx="15">
                  <c:v>400000</c:v>
                </c:pt>
                <c:pt idx="16">
                  <c:v>100000</c:v>
                </c:pt>
                <c:pt idx="17">
                  <c:v>0</c:v>
                </c:pt>
                <c:pt idx="18">
                  <c:v>200000</c:v>
                </c:pt>
                <c:pt idx="19">
                  <c:v>100000</c:v>
                </c:pt>
                <c:pt idx="20">
                  <c:v>0</c:v>
                </c:pt>
                <c:pt idx="21">
                  <c:v>100000</c:v>
                </c:pt>
                <c:pt idx="22">
                  <c:v>200000</c:v>
                </c:pt>
                <c:pt idx="23">
                  <c:v>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0</c:v>
                </c:pt>
                <c:pt idx="28">
                  <c:v>0</c:v>
                </c:pt>
                <c:pt idx="29">
                  <c:v>200000</c:v>
                </c:pt>
                <c:pt idx="30">
                  <c:v>100000</c:v>
                </c:pt>
                <c:pt idx="31">
                  <c:v>100000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100000</c:v>
                </c:pt>
                <c:pt idx="37">
                  <c:v>200000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100000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100000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bubbleSize>
          <c:bubble3D val="0"/>
        </c:ser>
        <c:ser>
          <c:idx val="2"/>
          <c:order val="2"/>
          <c:tx>
            <c:v>axis_x</c:v>
          </c:tx>
          <c:spPr>
            <a:noFill/>
            <a:ln w="53975">
              <a:noFill/>
            </a:ln>
          </c:spPr>
          <c:invertIfNegative val="0"/>
          <c:dLbls>
            <c:dLbl>
              <c:idx val="1"/>
              <c:layout>
                <c:manualLayout>
                  <c:x val="-4.4474420051570741E-2"/>
                  <c:y val="-2.863715037012645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869585545455448E-2"/>
                  <c:y val="-2.86386684950963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037524387014125E-2"/>
                  <c:y val="-2.285461235969299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48038131154903E-2"/>
                  <c:y val="-1.51425375124884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Host </a:t>
                    </a:r>
                    <a:br>
                      <a:rPr lang="en-US"/>
                    </a:br>
                    <a:r>
                      <a:rPr lang="en-US"/>
                      <a:t>Communities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830793042103778E-2"/>
                  <c:y val="-1.93362059294014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Lorem SIpsum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68280821381392"/>
                      <c:h val="7.204849903489293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bIns="45720" anchor="b" anchorCtr="0"/>
              <a:lstStyle/>
              <a:p>
                <a:pPr>
                  <a:defRPr b="0">
                    <a:solidFill>
                      <a:srgbClr val="026CB6"/>
                    </a:solidFill>
                    <a:latin typeface="Avenir Next Condensed" panose="020B0506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xVal>
            <c:strRef>
              <c:f>[0]!asse_x_val_x</c:f>
              <c:strCache>
                <c:ptCount val="6"/>
                <c:pt idx="0">
                  <c:v>IDPs</c:v>
                </c:pt>
                <c:pt idx="1">
                  <c:v>Refugees</c:v>
                </c:pt>
                <c:pt idx="2">
                  <c:v>Migrant</c:v>
                </c:pt>
                <c:pt idx="3">
                  <c:v>Returnees</c:v>
                </c:pt>
                <c:pt idx="4">
                  <c:v>Host Communities</c:v>
                </c:pt>
                <c:pt idx="5">
                  <c:v>Lorem Ipsum</c:v>
                </c:pt>
              </c:strCache>
            </c:strRef>
          </c:xVal>
          <c:yVal>
            <c:numRef>
              <c:f>[0]!asse_x_val_y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bubbleSize>
            <c:numRef>
              <c:f>[0]!asse_x_val_h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1"/>
        <c:axId val="243845856"/>
        <c:axId val="243846248"/>
      </c:bubbleChart>
      <c:bubbleChart>
        <c:varyColors val="0"/>
        <c:ser>
          <c:idx val="1"/>
          <c:order val="1"/>
          <c:tx>
            <c:v>axis_y</c:v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venir Next Condensed" panose="020B0506020202020204" pitchFamily="34" charset="0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6697010966491965"/>
                  <c:y val="3.629838327480100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en-US" sz="10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venir Next Condensed" panose="020B0506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0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venir Next Condensed" panose="020B0506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0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venir Next Condensed" panose="020B0506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0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venir Next Condensed" panose="020B0506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0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venir Next Condensed" panose="020B0506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0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venir Next Condensed" panose="020B0506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0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venir Next Condensed" panose="020B0506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0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venir Next Condensed" panose="020B0506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'PN Sector'!$A$8:$A$16</c:f>
              <c:strCache>
                <c:ptCount val="9"/>
                <c:pt idx="0">
                  <c:v>Food Security</c:v>
                </c:pt>
                <c:pt idx="1">
                  <c:v>Water, Sanitation &amp; Hygiene
</c:v>
                </c:pt>
                <c:pt idx="2">
                  <c:v>Protection</c:v>
                </c:pt>
                <c:pt idx="3">
                  <c:v>Health</c:v>
                </c:pt>
                <c:pt idx="4">
                  <c:v>Camp Cood. &amp; Camp Mgmt.</c:v>
                </c:pt>
                <c:pt idx="5">
                  <c:v>Nutrition</c:v>
                </c:pt>
                <c:pt idx="6">
                  <c:v>Sheter and NFI</c:v>
                </c:pt>
                <c:pt idx="7">
                  <c:v>Education</c:v>
                </c:pt>
                <c:pt idx="8">
                  <c:v>Logistics</c:v>
                </c:pt>
              </c:strCache>
            </c:strRef>
          </c:xVal>
          <c:yVal>
            <c:numRef>
              <c:f>[0]!asse_y_val_y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yVal>
          <c:bubbleSize>
            <c:numRef>
              <c:f>[0]!asse_y_val_h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"/>
        <c:showNegBubbles val="1"/>
        <c:axId val="243843112"/>
        <c:axId val="243843896"/>
      </c:bubbleChart>
      <c:valAx>
        <c:axId val="2438458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9050">
            <a:noFill/>
          </a:ln>
        </c:spPr>
        <c:crossAx val="243846248"/>
        <c:crosses val="autoZero"/>
        <c:crossBetween val="midCat"/>
      </c:valAx>
      <c:valAx>
        <c:axId val="243846248"/>
        <c:scaling>
          <c:orientation val="maxMin"/>
          <c:min val="0"/>
        </c:scaling>
        <c:delete val="1"/>
        <c:axPos val="l"/>
        <c:numFmt formatCode=";;;" sourceLinked="0"/>
        <c:majorTickMark val="none"/>
        <c:minorTickMark val="none"/>
        <c:tickLblPos val="nextTo"/>
        <c:crossAx val="243845856"/>
        <c:crosses val="autoZero"/>
        <c:crossBetween val="midCat"/>
        <c:majorUnit val="1"/>
      </c:valAx>
      <c:valAx>
        <c:axId val="2438438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43843112"/>
        <c:crosses val="max"/>
        <c:crossBetween val="midCat"/>
      </c:valAx>
      <c:valAx>
        <c:axId val="243843112"/>
        <c:scaling>
          <c:orientation val="minMax"/>
          <c:max val="1000000"/>
          <c:min val="0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243843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'Sector Charts'!$L$7</c:f>
              <c:strCache>
                <c:ptCount val="1"/>
                <c:pt idx="0">
                  <c:v>Children (&lt;18 years)</c:v>
                </c:pt>
              </c:strCache>
            </c:strRef>
          </c:tx>
          <c:spPr>
            <a:solidFill>
              <a:srgbClr val="026CB6"/>
            </a:solidFill>
          </c:spPr>
          <c:invertIfNegative val="0"/>
          <c:dLbls>
            <c:delete val="1"/>
          </c:dLbls>
          <c:val>
            <c:numRef>
              <c:f>'Sector Charts'!$L$8</c:f>
              <c:numCache>
                <c:formatCode>0%</c:formatCode>
                <c:ptCount val="1"/>
                <c:pt idx="0">
                  <c:v>0.36666666666666664</c:v>
                </c:pt>
              </c:numCache>
            </c:numRef>
          </c:val>
        </c:ser>
        <c:ser>
          <c:idx val="1"/>
          <c:order val="1"/>
          <c:tx>
            <c:strRef>
              <c:f>'Sector Charts'!$N$7</c:f>
              <c:strCache>
                <c:ptCount val="1"/>
                <c:pt idx="0">
                  <c:v>Adult (18-59 years)</c:v>
                </c:pt>
              </c:strCache>
            </c:strRef>
          </c:tx>
          <c:spPr>
            <a:solidFill>
              <a:srgbClr val="CBCBCB"/>
            </a:solidFill>
          </c:spPr>
          <c:invertIfNegative val="0"/>
          <c:dLbls>
            <c:delete val="1"/>
          </c:dLbls>
          <c:val>
            <c:numRef>
              <c:f>'Sector Charts'!$N$8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'Sector Charts'!$P$7</c:f>
              <c:strCache>
                <c:ptCount val="1"/>
                <c:pt idx="0">
                  <c:v>Elderly (&gt;59 years)</c:v>
                </c:pt>
              </c:strCache>
            </c:strRef>
          </c:tx>
          <c:spPr>
            <a:solidFill>
              <a:srgbClr val="6DCFF6"/>
            </a:solidFill>
          </c:spPr>
          <c:invertIfNegative val="0"/>
          <c:dLbls>
            <c:delete val="1"/>
          </c:dLbls>
          <c:val>
            <c:numRef>
              <c:f>'Sector Charts'!$P$8</c:f>
              <c:numCache>
                <c:formatCode>0%</c:formatCode>
                <c:ptCount val="1"/>
                <c:pt idx="0">
                  <c:v>0.13333333333333333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25326752"/>
        <c:axId val="325329496"/>
      </c:barChart>
      <c:catAx>
        <c:axId val="325326752"/>
        <c:scaling>
          <c:orientation val="minMax"/>
        </c:scaling>
        <c:delete val="1"/>
        <c:axPos val="l"/>
        <c:majorTickMark val="none"/>
        <c:minorTickMark val="none"/>
        <c:tickLblPos val="nextTo"/>
        <c:crossAx val="325329496"/>
        <c:crosses val="autoZero"/>
        <c:auto val="1"/>
        <c:lblAlgn val="ctr"/>
        <c:lblOffset val="100"/>
        <c:noMultiLvlLbl val="0"/>
      </c:catAx>
      <c:valAx>
        <c:axId val="3253294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2532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8688822063862E-2"/>
          <c:y val="5.1323725332493263E-2"/>
          <c:w val="0.86262622355872276"/>
          <c:h val="0.94205456814153998"/>
        </c:manualLayout>
      </c:layout>
      <c:pieChart>
        <c:varyColors val="1"/>
        <c:ser>
          <c:idx val="0"/>
          <c:order val="0"/>
          <c:spPr>
            <a:solidFill>
              <a:srgbClr val="026CB6"/>
            </a:solidFill>
            <a:ln>
              <a:noFill/>
            </a:ln>
          </c:spPr>
          <c:dPt>
            <c:idx val="0"/>
            <c:bubble3D val="0"/>
            <c:spPr>
              <a:solidFill>
                <a:srgbClr val="026CB6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6DCFF6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23228882833787465"/>
                  <c:y val="-0.16046153846153846"/>
                </c:manualLayout>
              </c:layout>
              <c:spPr/>
              <c:txPr>
                <a:bodyPr/>
                <a:lstStyle/>
                <a:p>
                  <a:pPr>
                    <a:defRPr sz="700" b="0">
                      <a:solidFill>
                        <a:schemeClr val="bg1"/>
                      </a:solidFill>
                      <a:latin typeface="Avenir Next" panose="020B0503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438692098092643"/>
                  <c:y val="0.17307692307692307"/>
                </c:manualLayout>
              </c:layout>
              <c:spPr/>
              <c:txPr>
                <a:bodyPr/>
                <a:lstStyle/>
                <a:p>
                  <a:pPr>
                    <a:defRPr sz="700" b="0">
                      <a:solidFill>
                        <a:schemeClr val="bg1"/>
                      </a:solidFill>
                      <a:latin typeface="Avenir Next" panose="020B0503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bg1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'Sector Charts'!$S$9:$T$9</c:f>
              <c:numCache>
                <c:formatCode>0%\ "M"</c:formatCode>
                <c:ptCount val="2"/>
                <c:pt idx="0" formatCode="0%\ &quot;F&quot;">
                  <c:v>0.66666666666666663</c:v>
                </c:pt>
                <c:pt idx="1">
                  <c:v>0.33333333333333331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26CB6"/>
            </a:solidFill>
          </c:spPr>
          <c:invertIfNegative val="0"/>
          <c:dLbls>
            <c:delete val="1"/>
          </c:dLbls>
          <c:val>
            <c:numRef>
              <c:f>'Sector Charts'!$L$9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</c:ser>
        <c:ser>
          <c:idx val="1"/>
          <c:order val="1"/>
          <c:spPr>
            <a:solidFill>
              <a:srgbClr val="CBCBCB"/>
            </a:solidFill>
          </c:spPr>
          <c:invertIfNegative val="0"/>
          <c:dLbls>
            <c:delete val="1"/>
          </c:dLbls>
          <c:val>
            <c:numRef>
              <c:f>'Sector Charts'!$N$9</c:f>
              <c:numCache>
                <c:formatCode>0%</c:formatCode>
                <c:ptCount val="1"/>
                <c:pt idx="0">
                  <c:v>0.66666666666666663</c:v>
                </c:pt>
              </c:numCache>
            </c:numRef>
          </c:val>
        </c:ser>
        <c:ser>
          <c:idx val="2"/>
          <c:order val="2"/>
          <c:spPr>
            <a:solidFill>
              <a:srgbClr val="6DCFF6"/>
            </a:solidFill>
          </c:spPr>
          <c:invertIfNegative val="0"/>
          <c:dLbls>
            <c:delete val="1"/>
          </c:dLbls>
          <c:val>
            <c:numRef>
              <c:f>'Sector Charts'!$P$9</c:f>
              <c:numCache>
                <c:formatCode>0%</c:formatCode>
                <c:ptCount val="1"/>
                <c:pt idx="0">
                  <c:v>8.3333333333333329E-2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25331456"/>
        <c:axId val="325328712"/>
      </c:barChart>
      <c:catAx>
        <c:axId val="325331456"/>
        <c:scaling>
          <c:orientation val="minMax"/>
        </c:scaling>
        <c:delete val="1"/>
        <c:axPos val="l"/>
        <c:majorTickMark val="none"/>
        <c:minorTickMark val="none"/>
        <c:tickLblPos val="nextTo"/>
        <c:crossAx val="325328712"/>
        <c:crosses val="autoZero"/>
        <c:auto val="1"/>
        <c:lblAlgn val="ctr"/>
        <c:lblOffset val="100"/>
        <c:noMultiLvlLbl val="0"/>
      </c:catAx>
      <c:valAx>
        <c:axId val="325328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2533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8319587554811E-2"/>
          <c:y val="6.8865033752000208E-3"/>
          <c:w val="0.94140983764691155"/>
          <c:h val="0.95664427264307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26CB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95B6DF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'PN Caseload'!$B$72:$C$72</c:f>
              <c:numCache>
                <c:formatCode>_-* #,##0_-;\-* #,##0_-;_-* "-"??_-;_-@_-</c:formatCode>
                <c:ptCount val="2"/>
                <c:pt idx="0">
                  <c:v>300000</c:v>
                </c:pt>
                <c:pt idx="1">
                  <c:v>1200000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8319587554811E-2"/>
          <c:y val="6.8865033752000208E-3"/>
          <c:w val="0.94140983764691155"/>
          <c:h val="0.95664427264307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26CB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95B6DF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'PN Caseload'!$B$73:$C$73</c:f>
              <c:numCache>
                <c:formatCode>_-* #,##0_-;\-* #,##0_-;_-* "-"??_-;_-@_-</c:formatCode>
                <c:ptCount val="2"/>
                <c:pt idx="0">
                  <c:v>96000</c:v>
                </c:pt>
                <c:pt idx="1">
                  <c:v>257866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8319587554811E-2"/>
          <c:y val="6.8865033752000208E-3"/>
          <c:w val="0.94140983764691155"/>
          <c:h val="0.95664427264307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26CB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95B6D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C7D6EE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'PN Caseload'!$B$74:$D$74</c:f>
              <c:numCache>
                <c:formatCode>_-* #,##0_-;\-* #,##0_-;_-* "-"??_-;_-@_-</c:formatCode>
                <c:ptCount val="3"/>
                <c:pt idx="0">
                  <c:v>435000</c:v>
                </c:pt>
                <c:pt idx="1">
                  <c:v>244899</c:v>
                </c:pt>
                <c:pt idx="2">
                  <c:v>87700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8319587554811E-2"/>
          <c:y val="6.8865033752000208E-3"/>
          <c:w val="0.94140983764691155"/>
          <c:h val="0.95664427264307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26CB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95B6DF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'PN Caseload'!$B$75:$C$75</c:f>
              <c:numCache>
                <c:formatCode>_-* #,##0_-;\-* #,##0_-;_-* "-"??_-;_-@_-</c:formatCode>
                <c:ptCount val="2"/>
                <c:pt idx="0">
                  <c:v>750123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8319587554811E-2"/>
          <c:y val="6.8865033752000208E-3"/>
          <c:w val="0.94140983764691155"/>
          <c:h val="0.95664427264307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26CB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95B6DF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'PN Caseload'!$B$76:$C$76</c:f>
              <c:numCache>
                <c:formatCode>_-* #,##0_-;\-* #,##0_-;_-* "-"??_-;_-@_-</c:formatCode>
                <c:ptCount val="2"/>
                <c:pt idx="0">
                  <c:v>599847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8319587554811E-2"/>
          <c:y val="6.8865033752000208E-3"/>
          <c:w val="0.94140983764691155"/>
          <c:h val="0.95664427264307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26CB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95B6DF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'PN Caseload'!$B$77:$C$77</c:f>
              <c:numCache>
                <c:formatCode>_-* #,##0_-;\-* #,##0_-;_-* "-"??_-;_-@_-</c:formatCode>
                <c:ptCount val="2"/>
                <c:pt idx="0">
                  <c:v>206185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8688822063862E-2"/>
          <c:y val="5.1323725332493263E-2"/>
          <c:w val="0.86262622355872276"/>
          <c:h val="0.94205456814153998"/>
        </c:manualLayout>
      </c:layout>
      <c:pieChart>
        <c:varyColors val="1"/>
        <c:ser>
          <c:idx val="0"/>
          <c:order val="0"/>
          <c:spPr>
            <a:solidFill>
              <a:srgbClr val="026CB6"/>
            </a:solidFill>
            <a:ln>
              <a:noFill/>
            </a:ln>
          </c:spPr>
          <c:dPt>
            <c:idx val="0"/>
            <c:bubble3D val="0"/>
            <c:spPr>
              <a:solidFill>
                <a:srgbClr val="6DCFF6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026CB6"/>
              </a:solidFill>
              <a:ln w="19050"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 rot="0" spcFirstLastPara="1" vertOverflow="overflow" horzOverflow="overflow" vert="horz" wrap="square" lIns="0" tIns="0" rIns="0" bIns="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C0BC840-AFD5-4584-81F7-9E6A759B6C1B}" type="CELLRANGE">
                      <a:rPr lang="en-US"/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2782788058535839"/>
                      <c:h val="0.5393161994496011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0" tIns="0" rIns="0" bIns="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EF8E250-ECEC-45BA-92EA-8585AEE6F325}" type="CELLRANGE">
                      <a:rPr lang="en-US"/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790429052787424"/>
                      <c:h val="0.35052381174495073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'PN Caseload'!$C$26:$D$26</c:f>
              <c:numCache>
                <c:formatCode>_-* #,##0_-;\-* #,##0_-;_-* "-"??_-;_-@_-</c:formatCode>
                <c:ptCount val="2"/>
                <c:pt idx="0">
                  <c:v>1538000</c:v>
                </c:pt>
                <c:pt idx="1">
                  <c:v>1319815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'PN Caseload'!$C$22:$D$22</c15:f>
                <c15:dlblRangeCache>
                  <c:ptCount val="2"/>
                  <c:pt idx="0">
                    <c:v> 54% Female </c:v>
                  </c:pt>
                  <c:pt idx="1">
                    <c:v> 46% Male 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026CB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194086699317999E-2"/>
                  <c:y val="3.5935101699042814E-2"/>
                </c:manualLayout>
              </c:layout>
              <c:spPr/>
              <c:txPr>
                <a:bodyPr rot="0" vert="horz" anchor="ctr" anchorCtr="0"/>
                <a:lstStyle/>
                <a:p>
                  <a:pPr>
                    <a:defRPr sz="800">
                      <a:solidFill>
                        <a:srgbClr val="58595B"/>
                      </a:solidFill>
                      <a:latin typeface="Avenir Next" panose="020B0503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73003298107219E-2"/>
                  <c:y val="3.5934913065318763E-2"/>
                </c:manualLayout>
              </c:layout>
              <c:spPr/>
              <c:txPr>
                <a:bodyPr rot="0" vert="horz" anchor="ctr"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58595B"/>
                      </a:solidFill>
                      <a:latin typeface="Avenir Next" panose="020B05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820723563050256E-2"/>
                  <c:y val="3.59349130653187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3.3539076136155067E-2"/>
                </c:manualLayout>
              </c:layout>
              <c:spPr/>
              <c:txPr>
                <a:bodyPr rot="0" vert="horz" anchor="ctr" anchorCtr="0"/>
                <a:lstStyle/>
                <a:p>
                  <a:pPr>
                    <a:defRPr sz="800">
                      <a:solidFill>
                        <a:srgbClr val="58595B"/>
                      </a:solidFill>
                      <a:latin typeface="Avenir Next" panose="020B0503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3.3539076136155067E-2"/>
                </c:manualLayout>
              </c:layout>
              <c:spPr/>
              <c:txPr>
                <a:bodyPr rot="0" vert="horz" anchor="ctr" anchorCtr="0"/>
                <a:lstStyle/>
                <a:p>
                  <a:pPr>
                    <a:defRPr sz="800">
                      <a:solidFill>
                        <a:srgbClr val="58595B"/>
                      </a:solidFill>
                      <a:latin typeface="Avenir Next" panose="020B0503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8747779545275774E-2"/>
                </c:manualLayout>
              </c:layout>
              <c:spPr/>
              <c:txPr>
                <a:bodyPr rot="0" vert="horz" anchor="ctr" anchorCtr="0"/>
                <a:lstStyle/>
                <a:p>
                  <a:pPr>
                    <a:defRPr sz="800">
                      <a:solidFill>
                        <a:srgbClr val="58595B"/>
                      </a:solidFill>
                      <a:latin typeface="Avenir Next" panose="020B0503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730032981072179E-2"/>
                  <c:y val="3.3539076136155158E-2"/>
                </c:manualLayout>
              </c:layout>
              <c:spPr/>
              <c:txPr>
                <a:bodyPr rot="0" vert="horz" anchor="ctr" anchorCtr="0"/>
                <a:lstStyle/>
                <a:p>
                  <a:pPr>
                    <a:defRPr sz="800">
                      <a:solidFill>
                        <a:srgbClr val="58595B"/>
                      </a:solidFill>
                      <a:latin typeface="Avenir Next" panose="020B0503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9100109936907299E-3"/>
                  <c:y val="3.5934724431594713E-2"/>
                </c:manualLayout>
              </c:layout>
              <c:spPr/>
              <c:txPr>
                <a:bodyPr rot="0" vert="horz" anchor="ctr" anchorCtr="0"/>
                <a:lstStyle/>
                <a:p>
                  <a:pPr>
                    <a:defRPr sz="800">
                      <a:solidFill>
                        <a:srgbClr val="58595B"/>
                      </a:solidFill>
                      <a:latin typeface="Avenir Next" panose="020B0503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9100109936907299E-3"/>
                  <c:y val="3.1143427840715419E-2"/>
                </c:manualLayout>
              </c:layout>
              <c:spPr/>
              <c:txPr>
                <a:bodyPr rot="0" vert="horz" anchor="ctr" anchorCtr="0"/>
                <a:lstStyle/>
                <a:p>
                  <a:pPr>
                    <a:defRPr sz="800">
                      <a:solidFill>
                        <a:srgbClr val="58595B"/>
                      </a:solidFill>
                      <a:latin typeface="Avenir Next" panose="020B0503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sz="800">
                    <a:latin typeface="Avenir Next" panose="020B0503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Sector'!$S$8:$S$16</c:f>
              <c:numCache>
                <c:formatCode>0%</c:formatCode>
                <c:ptCount val="9"/>
                <c:pt idx="0">
                  <c:v>0.6333333333333333</c:v>
                </c:pt>
                <c:pt idx="1">
                  <c:v>0.66666666666666663</c:v>
                </c:pt>
                <c:pt idx="2">
                  <c:v>0.625</c:v>
                </c:pt>
                <c:pt idx="3">
                  <c:v>0.56666666666666665</c:v>
                </c:pt>
                <c:pt idx="4">
                  <c:v>0.5</c:v>
                </c:pt>
                <c:pt idx="5">
                  <c:v>0.45</c:v>
                </c:pt>
                <c:pt idx="6">
                  <c:v>0.53333333333333333</c:v>
                </c:pt>
                <c:pt idx="7">
                  <c:v>0.25</c:v>
                </c:pt>
                <c:pt idx="8">
                  <c:v>0.55000000000000004</c:v>
                </c:pt>
              </c:numCache>
            </c:numRef>
          </c:val>
        </c:ser>
        <c:ser>
          <c:idx val="1"/>
          <c:order val="1"/>
          <c:spPr>
            <a:solidFill>
              <a:srgbClr val="CBCBCB"/>
            </a:solidFill>
            <a:ln>
              <a:noFill/>
            </a:ln>
            <a:effectLst/>
          </c:spPr>
          <c:invertIfNegative val="0"/>
          <c:val>
            <c:numRef>
              <c:f>'PN Sector'!$T$8:$T$16</c:f>
              <c:numCache>
                <c:formatCode>0%</c:formatCode>
                <c:ptCount val="9"/>
                <c:pt idx="0">
                  <c:v>0.36666666666666664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0.43333333333333335</c:v>
                </c:pt>
                <c:pt idx="4">
                  <c:v>0.5</c:v>
                </c:pt>
                <c:pt idx="5">
                  <c:v>0.55000000000000004</c:v>
                </c:pt>
                <c:pt idx="6">
                  <c:v>0.46666666666666667</c:v>
                </c:pt>
                <c:pt idx="7">
                  <c:v>0.75</c:v>
                </c:pt>
                <c:pt idx="8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43844680"/>
        <c:axId val="324353352"/>
      </c:barChart>
      <c:catAx>
        <c:axId val="243844680"/>
        <c:scaling>
          <c:orientation val="maxMin"/>
        </c:scaling>
        <c:delete val="1"/>
        <c:axPos val="l"/>
        <c:majorTickMark val="none"/>
        <c:minorTickMark val="none"/>
        <c:tickLblPos val="nextTo"/>
        <c:crossAx val="324353352"/>
        <c:crosses val="autoZero"/>
        <c:auto val="1"/>
        <c:lblAlgn val="ctr"/>
        <c:lblOffset val="100"/>
        <c:noMultiLvlLbl val="0"/>
      </c:catAx>
      <c:valAx>
        <c:axId val="324353352"/>
        <c:scaling>
          <c:orientation val="minMax"/>
        </c:scaling>
        <c:delete val="1"/>
        <c:axPos val="t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extTo"/>
        <c:crossAx val="243844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5615157480315"/>
          <c:y val="0.19271724655461106"/>
          <c:w val="0.65276930227471563"/>
          <c:h val="0.66071034211259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'Sector Footer Charts'!$C$8</c:f>
              <c:strCache>
                <c:ptCount val="1"/>
                <c:pt idx="0">
                  <c:v>Nulla Facilisi (unit)</c:v>
                </c:pt>
              </c:strCache>
            </c:strRef>
          </c:tx>
          <c:spPr>
            <a:solidFill>
              <a:srgbClr val="6DCFF6"/>
            </a:solidFill>
            <a:ln>
              <a:noFill/>
            </a:ln>
            <a:effectLst/>
          </c:spPr>
          <c:invertIfNegative val="0"/>
          <c:cat>
            <c:numRef>
              <c:f>'Sector Footer Charts'!$B$9:$B$22</c:f>
              <c:numCache>
                <c:formatCode>m/d/yyyy</c:formatCode>
                <c:ptCount val="14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</c:numCache>
            </c:numRef>
          </c:cat>
          <c:val>
            <c:numRef>
              <c:f>'Sector Footer Charts'!$C$9:$C$22</c:f>
              <c:numCache>
                <c:formatCode>#,##0_ ;\-#,##0\ </c:formatCode>
                <c:ptCount val="14"/>
                <c:pt idx="0">
                  <c:v>123</c:v>
                </c:pt>
                <c:pt idx="1">
                  <c:v>55</c:v>
                </c:pt>
                <c:pt idx="2">
                  <c:v>232</c:v>
                </c:pt>
                <c:pt idx="3">
                  <c:v>210</c:v>
                </c:pt>
                <c:pt idx="4">
                  <c:v>105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90</c:v>
                </c:pt>
                <c:pt idx="10">
                  <c:v>80</c:v>
                </c:pt>
                <c:pt idx="11">
                  <c:v>85</c:v>
                </c:pt>
                <c:pt idx="12">
                  <c:v>95</c:v>
                </c:pt>
                <c:pt idx="13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4349040"/>
        <c:axId val="324096072"/>
      </c:barChart>
      <c:lineChart>
        <c:grouping val="standard"/>
        <c:varyColors val="0"/>
        <c:ser>
          <c:idx val="1"/>
          <c:order val="1"/>
          <c:tx>
            <c:strRef>
              <c:f>'Sector Footer Charts'!$D$8</c:f>
              <c:strCache>
                <c:ptCount val="1"/>
                <c:pt idx="0">
                  <c:v>Lorem ipsum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26CB6"/>
              </a:solidFill>
              <a:ln w="19050">
                <a:solidFill>
                  <a:schemeClr val="bg1"/>
                </a:solidFill>
              </a:ln>
              <a:effectLst/>
            </c:spPr>
          </c:marker>
          <c:cat>
            <c:numRef>
              <c:f>'Sector Footer Charts'!$B$9:$B$22</c:f>
              <c:numCache>
                <c:formatCode>m/d/yyyy</c:formatCode>
                <c:ptCount val="14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</c:numCache>
            </c:numRef>
          </c:cat>
          <c:val>
            <c:numRef>
              <c:f>'Sector Footer Charts'!$D$9:$D$22</c:f>
              <c:numCache>
                <c:formatCode>#,##0_ ;\-#,##0\ </c:formatCode>
                <c:ptCount val="14"/>
                <c:pt idx="0">
                  <c:v>1200</c:v>
                </c:pt>
                <c:pt idx="1">
                  <c:v>1120</c:v>
                </c:pt>
                <c:pt idx="2">
                  <c:v>850</c:v>
                </c:pt>
                <c:pt idx="3">
                  <c:v>1003</c:v>
                </c:pt>
                <c:pt idx="4">
                  <c:v>1200</c:v>
                </c:pt>
                <c:pt idx="5">
                  <c:v>1600</c:v>
                </c:pt>
                <c:pt idx="6">
                  <c:v>1200</c:v>
                </c:pt>
                <c:pt idx="7">
                  <c:v>1125</c:v>
                </c:pt>
                <c:pt idx="8">
                  <c:v>1312</c:v>
                </c:pt>
                <c:pt idx="9">
                  <c:v>1850</c:v>
                </c:pt>
                <c:pt idx="10">
                  <c:v>2350</c:v>
                </c:pt>
                <c:pt idx="11">
                  <c:v>2450</c:v>
                </c:pt>
                <c:pt idx="12">
                  <c:v>3620</c:v>
                </c:pt>
                <c:pt idx="13">
                  <c:v>3200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94112"/>
        <c:axId val="324094896"/>
      </c:lineChart>
      <c:dateAx>
        <c:axId val="324349040"/>
        <c:scaling>
          <c:orientation val="minMax"/>
        </c:scaling>
        <c:delete val="0"/>
        <c:axPos val="b"/>
        <c:numFmt formatCode="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096072"/>
        <c:crosses val="autoZero"/>
        <c:auto val="1"/>
        <c:lblOffset val="100"/>
        <c:baseTimeUnit val="months"/>
        <c:majorUnit val="13"/>
        <c:majorTimeUnit val="months"/>
      </c:dateAx>
      <c:valAx>
        <c:axId val="324096072"/>
        <c:scaling>
          <c:orientation val="minMax"/>
        </c:scaling>
        <c:delete val="0"/>
        <c:axPos val="l"/>
        <c:numFmt formatCode="#,##0_ ;\-#,##0\ " sourceLinked="1"/>
        <c:majorTickMark val="none"/>
        <c:minorTickMark val="none"/>
        <c:tickLblPos val="nextTo"/>
        <c:spPr>
          <a:noFill/>
          <a:ln w="22225"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349040"/>
        <c:crosses val="autoZero"/>
        <c:crossBetween val="between"/>
      </c:valAx>
      <c:valAx>
        <c:axId val="324094896"/>
        <c:scaling>
          <c:orientation val="minMax"/>
        </c:scaling>
        <c:delete val="0"/>
        <c:axPos val="r"/>
        <c:numFmt formatCode="[&gt;=1000000]\ #,##0.0,,&quot;M&quot;;[&lt;1000000]\ #,##0.0,&quot;K&quot;;General" sourceLinked="0"/>
        <c:majorTickMark val="none"/>
        <c:minorTickMark val="none"/>
        <c:tickLblPos val="nextTo"/>
        <c:spPr>
          <a:noFill/>
          <a:ln w="15875"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094112"/>
        <c:crosses val="max"/>
        <c:crossBetween val="between"/>
      </c:valAx>
      <c:dateAx>
        <c:axId val="324094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2409489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5017497812773404E-2"/>
          <c:y val="1.8397442667944932E-2"/>
          <c:w val="0.95468700787401573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baseline="0">
              <a:solidFill>
                <a:srgbClr val="B9E5F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26CB6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</c:spPr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6DCFF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strRef>
                  <c:f>'Sector Footer Charts'!$D$28</c:f>
                  <c:strCache>
                    <c:ptCount val="1"/>
                    <c:pt idx="0">
                      <c:v>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{894B18F5-06FD-462D-A558-B129872E245A}</c15:txfldGUID>
                      <c15:f>'Sector Footer Charts'!$D$28</c15:f>
                      <c15:dlblFieldTableCache>
                        <c:ptCount val="1"/>
                        <c:pt idx="0">
                          <c:v>48%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'Sector Footer Charts'!$B$28:$C$28</c:f>
              <c:numCache>
                <c:formatCode>General</c:formatCode>
                <c:ptCount val="2"/>
                <c:pt idx="0">
                  <c:v>5000</c:v>
                </c:pt>
                <c:pt idx="1">
                  <c:v>5400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8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26CB6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'Timeline of Events'!$B$3</c:f>
              <c:strCache>
                <c:ptCount val="1"/>
                <c:pt idx="0">
                  <c:v>IDPs</c:v>
                </c:pt>
              </c:strCache>
            </c:strRef>
          </c:tx>
          <c:spPr>
            <a:solidFill>
              <a:srgbClr val="026CB6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>
                    <a:solidFill>
                      <a:schemeClr val="bg1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'Timeline of Events'!$A$4:$A$24</c:f>
              <c:numCache>
                <c:formatCode>[$-409]mmmm\-yy;@</c:formatCode>
                <c:ptCount val="2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</c:numCache>
            </c:numRef>
          </c:cat>
          <c:val>
            <c:numRef>
              <c:f>'Timeline of Events'!$B$4:$B$24</c:f>
              <c:numCache>
                <c:formatCode>#,##0.0,,\ ;;</c:formatCode>
                <c:ptCount val="21"/>
                <c:pt idx="0">
                  <c:v>600000</c:v>
                </c:pt>
                <c:pt idx="1">
                  <c:v>500000</c:v>
                </c:pt>
                <c:pt idx="2">
                  <c:v>400000</c:v>
                </c:pt>
                <c:pt idx="3">
                  <c:v>200000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200000</c:v>
                </c:pt>
                <c:pt idx="9">
                  <c:v>300000</c:v>
                </c:pt>
                <c:pt idx="10">
                  <c:v>240000</c:v>
                </c:pt>
                <c:pt idx="11">
                  <c:v>400000</c:v>
                </c:pt>
                <c:pt idx="12">
                  <c:v>500000</c:v>
                </c:pt>
                <c:pt idx="13">
                  <c:v>400000</c:v>
                </c:pt>
                <c:pt idx="14">
                  <c:v>400000</c:v>
                </c:pt>
                <c:pt idx="15">
                  <c:v>600000</c:v>
                </c:pt>
                <c:pt idx="16">
                  <c:v>700000</c:v>
                </c:pt>
                <c:pt idx="17">
                  <c:v>600000</c:v>
                </c:pt>
                <c:pt idx="18">
                  <c:v>600000</c:v>
                </c:pt>
                <c:pt idx="19">
                  <c:v>400000</c:v>
                </c:pt>
                <c:pt idx="20">
                  <c:v>400000</c:v>
                </c:pt>
              </c:numCache>
            </c:numRef>
          </c:val>
        </c:ser>
        <c:ser>
          <c:idx val="1"/>
          <c:order val="1"/>
          <c:tx>
            <c:strRef>
              <c:f>'Timeline of Events'!$C$3</c:f>
              <c:strCache>
                <c:ptCount val="1"/>
                <c:pt idx="0">
                  <c:v>Refugees</c:v>
                </c:pt>
              </c:strCache>
            </c:strRef>
          </c:tx>
          <c:spPr>
            <a:solidFill>
              <a:srgbClr val="95B6DF"/>
            </a:solidFill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GB" sz="700" b="0" i="0" u="none" strike="noStrike" kern="1200" baseline="0">
                    <a:solidFill>
                      <a:sysClr val="window" lastClr="FFFFFF"/>
                    </a:solidFill>
                    <a:latin typeface="Avenir Next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'Timeline of Events'!$A$4:$A$24</c:f>
              <c:numCache>
                <c:formatCode>[$-409]mmmm\-yy;@</c:formatCode>
                <c:ptCount val="2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</c:numCache>
            </c:numRef>
          </c:cat>
          <c:val>
            <c:numRef>
              <c:f>'Timeline of Events'!$C$4:$C$24</c:f>
              <c:numCache>
                <c:formatCode>#,##0.0,,\ ;;</c:formatCode>
                <c:ptCount val="21"/>
                <c:pt idx="0">
                  <c:v>300000</c:v>
                </c:pt>
                <c:pt idx="1">
                  <c:v>300000</c:v>
                </c:pt>
                <c:pt idx="2">
                  <c:v>200000</c:v>
                </c:pt>
                <c:pt idx="3">
                  <c:v>100000</c:v>
                </c:pt>
                <c:pt idx="4">
                  <c:v>100000</c:v>
                </c:pt>
                <c:pt idx="5">
                  <c:v>200000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</c:numCache>
            </c:numRef>
          </c:val>
        </c:ser>
        <c:ser>
          <c:idx val="2"/>
          <c:order val="2"/>
          <c:tx>
            <c:strRef>
              <c:f>'Timeline of Events'!$D$3</c:f>
              <c:strCache>
                <c:ptCount val="1"/>
                <c:pt idx="0">
                  <c:v>Vulnerable returnees</c:v>
                </c:pt>
              </c:strCache>
            </c:strRef>
          </c:tx>
          <c:spPr>
            <a:solidFill>
              <a:srgbClr val="CBCBCB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GB"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venir Next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'Timeline of Events'!$A$4:$A$24</c:f>
              <c:numCache>
                <c:formatCode>[$-409]mmmm\-yy;@</c:formatCode>
                <c:ptCount val="2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</c:numCache>
            </c:numRef>
          </c:cat>
          <c:val>
            <c:numRef>
              <c:f>'Timeline of Events'!$D$4:$D$24</c:f>
              <c:numCache>
                <c:formatCode>#,##0.0,,\ ;;</c:formatCode>
                <c:ptCount val="21"/>
                <c:pt idx="0">
                  <c:v>200000</c:v>
                </c:pt>
                <c:pt idx="1">
                  <c:v>200000</c:v>
                </c:pt>
                <c:pt idx="2">
                  <c:v>100000</c:v>
                </c:pt>
                <c:pt idx="3">
                  <c:v>200000</c:v>
                </c:pt>
                <c:pt idx="4">
                  <c:v>200000</c:v>
                </c:pt>
                <c:pt idx="5">
                  <c:v>100000</c:v>
                </c:pt>
                <c:pt idx="6">
                  <c:v>200000</c:v>
                </c:pt>
                <c:pt idx="7">
                  <c:v>100000</c:v>
                </c:pt>
                <c:pt idx="8">
                  <c:v>200000</c:v>
                </c:pt>
                <c:pt idx="9">
                  <c:v>100000</c:v>
                </c:pt>
                <c:pt idx="10">
                  <c:v>200000</c:v>
                </c:pt>
                <c:pt idx="11">
                  <c:v>200000</c:v>
                </c:pt>
                <c:pt idx="12">
                  <c:v>200000</c:v>
                </c:pt>
                <c:pt idx="13">
                  <c:v>200000</c:v>
                </c:pt>
                <c:pt idx="14">
                  <c:v>200000</c:v>
                </c:pt>
                <c:pt idx="15">
                  <c:v>200000</c:v>
                </c:pt>
                <c:pt idx="16">
                  <c:v>200000</c:v>
                </c:pt>
                <c:pt idx="17">
                  <c:v>200000</c:v>
                </c:pt>
                <c:pt idx="18">
                  <c:v>200000</c:v>
                </c:pt>
                <c:pt idx="19">
                  <c:v>200000</c:v>
                </c:pt>
                <c:pt idx="20">
                  <c:v>200000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093720"/>
        <c:axId val="324099600"/>
      </c:barChart>
      <c:dateAx>
        <c:axId val="324093720"/>
        <c:scaling>
          <c:orientation val="minMax"/>
        </c:scaling>
        <c:delete val="1"/>
        <c:axPos val="b"/>
        <c:numFmt formatCode="[$-409]mmmm\-yy;@" sourceLinked="1"/>
        <c:majorTickMark val="none"/>
        <c:minorTickMark val="none"/>
        <c:tickLblPos val="high"/>
        <c:crossAx val="324099600"/>
        <c:crosses val="autoZero"/>
        <c:auto val="1"/>
        <c:lblOffset val="100"/>
        <c:baseTimeUnit val="months"/>
      </c:dateAx>
      <c:valAx>
        <c:axId val="324099600"/>
        <c:scaling>
          <c:orientation val="minMax"/>
        </c:scaling>
        <c:delete val="1"/>
        <c:axPos val="l"/>
        <c:numFmt formatCode="#,##0.0,,\ ;;" sourceLinked="1"/>
        <c:majorTickMark val="out"/>
        <c:minorTickMark val="none"/>
        <c:tickLblPos val="nextTo"/>
        <c:crossAx val="324093720"/>
        <c:crosses val="autoZero"/>
        <c:crossBetween val="between"/>
      </c:valAx>
      <c:spPr>
        <a:noFill/>
        <a:ln w="9525" cap="sq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'PN Sector'!$K$7</c:f>
              <c:strCache>
                <c:ptCount val="1"/>
                <c:pt idx="0">
                  <c:v>Children (&lt;18 years)</c:v>
                </c:pt>
              </c:strCache>
            </c:strRef>
          </c:tx>
          <c:spPr>
            <a:solidFill>
              <a:srgbClr val="026CB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7500770678090447E-2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1470070571351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250128446348403E-2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5750179824887767"/>
                  <c:y val="2.862676076180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250128446348403E-2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3.1012324158619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2.6241197364985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35714735979492E-2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GB" sz="800" b="0" i="0" u="none" strike="noStrike" kern="1200" baseline="0">
                    <a:solidFill>
                      <a:srgbClr val="005CB8"/>
                    </a:solidFill>
                    <a:latin typeface="Avenir Next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Sector'!$L$8:$L$16</c:f>
              <c:numCache>
                <c:formatCode>0</c:formatCode>
                <c:ptCount val="9"/>
                <c:pt idx="0">
                  <c:v>36.666666666666664</c:v>
                </c:pt>
                <c:pt idx="1">
                  <c:v>25</c:v>
                </c:pt>
                <c:pt idx="2">
                  <c:v>29.166666666666668</c:v>
                </c:pt>
                <c:pt idx="3">
                  <c:v>76.666666666666671</c:v>
                </c:pt>
                <c:pt idx="4">
                  <c:v>20</c:v>
                </c:pt>
                <c:pt idx="5">
                  <c:v>25</c:v>
                </c:pt>
                <c:pt idx="6">
                  <c:v>23.333333333333332</c:v>
                </c:pt>
                <c:pt idx="7">
                  <c:v>10</c:v>
                </c:pt>
                <c:pt idx="8">
                  <c:v>80</c:v>
                </c:pt>
              </c:numCache>
            </c:numRef>
          </c:val>
        </c:ser>
        <c:ser>
          <c:idx val="1"/>
          <c:order val="1"/>
          <c:tx>
            <c:strRef>
              <c:f>'PN Sector'!$M$7</c:f>
              <c:strCache>
                <c:ptCount val="1"/>
                <c:pt idx="0">
                  <c:v>Adult (18-59 years)</c:v>
                </c:pt>
              </c:strCache>
            </c:strRef>
          </c:tx>
          <c:spPr>
            <a:solidFill>
              <a:srgbClr val="CBCBC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250231203427127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500154135618089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125115601713564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668571788783593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23809823986328E-2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7833343839521424E-2"/>
                  <c:y val="3.1012324158619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11904911993164E-2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35714735979492E-2"/>
                  <c:y val="2.862676076180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902383503883788"/>
                  <c:y val="3.1012324158619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rgbClr val="58595B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Sector'!$N$8:$N$16</c:f>
              <c:numCache>
                <c:formatCode>0</c:formatCode>
                <c:ptCount val="9"/>
                <c:pt idx="0">
                  <c:v>50</c:v>
                </c:pt>
                <c:pt idx="1">
                  <c:v>66.666666666666657</c:v>
                </c:pt>
                <c:pt idx="2">
                  <c:v>62.5</c:v>
                </c:pt>
                <c:pt idx="3">
                  <c:v>8.3333333333333321</c:v>
                </c:pt>
                <c:pt idx="4">
                  <c:v>70</c:v>
                </c:pt>
                <c:pt idx="5">
                  <c:v>75</c:v>
                </c:pt>
                <c:pt idx="6">
                  <c:v>70</c:v>
                </c:pt>
                <c:pt idx="7">
                  <c:v>80</c:v>
                </c:pt>
                <c:pt idx="8">
                  <c:v>20</c:v>
                </c:pt>
              </c:numCache>
            </c:numRef>
          </c:val>
        </c:ser>
        <c:ser>
          <c:idx val="2"/>
          <c:order val="2"/>
          <c:tx>
            <c:strRef>
              <c:f>'PN Sector'!$O$7</c:f>
              <c:strCache>
                <c:ptCount val="1"/>
                <c:pt idx="0">
                  <c:v>Elderly (&gt;59 years)</c:v>
                </c:pt>
              </c:strCache>
            </c:strRef>
          </c:tx>
          <c:spPr>
            <a:solidFill>
              <a:srgbClr val="6DCFF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2501284463483E-2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 sz="700" b="0"/>
                      <a:t>13%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11904911993164E-2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47619647972656E-2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952392959453216E-2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11904911993164E-2"/>
                  <c:y val="2.6241197364985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7619647972656E-2"/>
                  <c:y val="2.6241197364985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en-US" sz="700" b="0" i="0" u="none" strike="noStrike" baseline="0">
                        <a:effectLst/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119049119931538E-2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en-US" sz="700" b="0" i="0" u="none" strike="noStrike" baseline="0">
                        <a:effectLst/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11904911993164E-2"/>
                  <c:y val="2.8626760761802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  <a:r>
                      <a:rPr lang="en-US" sz="700" b="0" i="0" u="none" strike="noStrike" baseline="0">
                        <a:effectLst/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6714294719589839E-2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en-US" sz="700" b="0" i="0" u="none" strike="noStrike" baseline="0">
                        <a:effectLst/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>
                    <a:solidFill>
                      <a:srgbClr val="00B0F0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Sector'!$P$8:$P$16</c:f>
              <c:numCache>
                <c:formatCode>0</c:formatCode>
                <c:ptCount val="9"/>
                <c:pt idx="0">
                  <c:v>13.333333333333334</c:v>
                </c:pt>
                <c:pt idx="1">
                  <c:v>8.3333333333333321</c:v>
                </c:pt>
                <c:pt idx="2">
                  <c:v>8.3333333333333321</c:v>
                </c:pt>
                <c:pt idx="3">
                  <c:v>15</c:v>
                </c:pt>
                <c:pt idx="4">
                  <c:v>10</c:v>
                </c:pt>
                <c:pt idx="5">
                  <c:v>0</c:v>
                </c:pt>
                <c:pt idx="6">
                  <c:v>6.666666666666667</c:v>
                </c:pt>
                <c:pt idx="7">
                  <c:v>10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axId val="324352568"/>
        <c:axId val="324352960"/>
      </c:barChart>
      <c:catAx>
        <c:axId val="324352568"/>
        <c:scaling>
          <c:orientation val="maxMin"/>
        </c:scaling>
        <c:delete val="1"/>
        <c:axPos val="l"/>
        <c:majorTickMark val="none"/>
        <c:minorTickMark val="none"/>
        <c:tickLblPos val="nextTo"/>
        <c:crossAx val="324352960"/>
        <c:crosses val="autoZero"/>
        <c:auto val="1"/>
        <c:lblAlgn val="ctr"/>
        <c:lblOffset val="100"/>
        <c:noMultiLvlLbl val="0"/>
      </c:catAx>
      <c:valAx>
        <c:axId val="32435296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324352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'PN Sector'!$Q$7</c:f>
              <c:strCache>
                <c:ptCount val="1"/>
                <c:pt idx="0">
                  <c:v>In Need</c:v>
                </c:pt>
              </c:strCache>
            </c:strRef>
          </c:tx>
          <c:spPr>
            <a:solidFill>
              <a:srgbClr val="026CB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3571246095548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30397802172846E-2"/>
                  <c:y val="-2.877535379618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767992673909741E-3"/>
                  <c:y val="-3.117329994586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877535379618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476799267390955E-3"/>
                  <c:y val="-3.117329994586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76799267390955E-3"/>
                  <c:y val="-3.117329994586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4767992673909359E-3"/>
                  <c:y val="-2.877535379618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95359853478191E-2"/>
                  <c:y val="-2.8775353796184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476799267390955E-3"/>
                  <c:y val="-2.397946149682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rgbClr val="005CB8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Sector'!$Q$8:$Q$16</c:f>
              <c:numCache>
                <c:formatCode>#,##0.0,,"M"\ ;;</c:formatCode>
                <c:ptCount val="9"/>
                <c:pt idx="0">
                  <c:v>1500000</c:v>
                </c:pt>
                <c:pt idx="1">
                  <c:v>1200000</c:v>
                </c:pt>
                <c:pt idx="2">
                  <c:v>1200000</c:v>
                </c:pt>
                <c:pt idx="3">
                  <c:v>600000</c:v>
                </c:pt>
                <c:pt idx="4">
                  <c:v>500000</c:v>
                </c:pt>
                <c:pt idx="5">
                  <c:v>200000</c:v>
                </c:pt>
                <c:pt idx="6">
                  <c:v>300000</c:v>
                </c:pt>
                <c:pt idx="7">
                  <c:v>100000</c:v>
                </c:pt>
                <c:pt idx="8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'PN Sector'!$R$7</c:f>
              <c:strCache>
                <c:ptCount val="1"/>
                <c:pt idx="0">
                  <c:v>Total Affected</c:v>
                </c:pt>
              </c:strCache>
            </c:strRef>
          </c:tx>
          <c:spPr>
            <a:solidFill>
              <a:srgbClr val="6DCFF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76799267390955E-3"/>
                  <c:y val="-3.596919224523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30397802172863E-2"/>
                  <c:y val="-2.877535379618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703095651625456E-17"/>
                  <c:y val="-2.8775353796184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877535379618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30397802172863E-2"/>
                  <c:y val="-3.836713839491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476799267390955E-3"/>
                  <c:y val="-2.877535379618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476799267390955E-3"/>
                  <c:y val="-3.117329994586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430397802172787E-2"/>
                  <c:y val="-2.8775353796184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476799267390955E-3"/>
                  <c:y val="-2.6377407646502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rgbClr val="00B0F0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Sector'!$R$8:$R$16</c:f>
              <c:numCache>
                <c:formatCode>#,##0.0,,"M"\ ;;</c:formatCode>
                <c:ptCount val="9"/>
                <c:pt idx="0">
                  <c:v>3555000</c:v>
                </c:pt>
                <c:pt idx="1">
                  <c:v>1536000</c:v>
                </c:pt>
                <c:pt idx="2">
                  <c:v>2220000</c:v>
                </c:pt>
                <c:pt idx="3">
                  <c:v>1290000</c:v>
                </c:pt>
                <c:pt idx="4">
                  <c:v>1245000</c:v>
                </c:pt>
                <c:pt idx="5">
                  <c:v>470000</c:v>
                </c:pt>
                <c:pt idx="6">
                  <c:v>573000</c:v>
                </c:pt>
                <c:pt idx="7">
                  <c:v>162000</c:v>
                </c:pt>
                <c:pt idx="8">
                  <c:v>184000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324351784"/>
        <c:axId val="324350216"/>
      </c:barChart>
      <c:catAx>
        <c:axId val="324351784"/>
        <c:scaling>
          <c:orientation val="minMax"/>
        </c:scaling>
        <c:delete val="1"/>
        <c:axPos val="l"/>
        <c:majorTickMark val="none"/>
        <c:minorTickMark val="none"/>
        <c:tickLblPos val="nextTo"/>
        <c:crossAx val="324350216"/>
        <c:crosses val="autoZero"/>
        <c:auto val="1"/>
        <c:lblAlgn val="ctr"/>
        <c:lblOffset val="100"/>
        <c:noMultiLvlLbl val="0"/>
      </c:catAx>
      <c:valAx>
        <c:axId val="32435021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24351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1033043946429"/>
          <c:y val="0.13480403778283245"/>
          <c:w val="0.79618529359222767"/>
          <c:h val="0.84056048838152941"/>
        </c:manualLayout>
      </c:layout>
      <c:bubbleChart>
        <c:varyColors val="0"/>
        <c:ser>
          <c:idx val="0"/>
          <c:order val="0"/>
          <c:tx>
            <c:v>matrix data</c:v>
          </c:tx>
          <c:spPr>
            <a:solidFill>
              <a:srgbClr val="6DCFF6"/>
            </a:solidFill>
            <a:ln>
              <a:noFill/>
            </a:ln>
          </c:spPr>
          <c:invertIfNegative val="0"/>
          <c:dLbls>
            <c:numFmt formatCode="#,##0.0,,\ &quot;M&quot;;;\ 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  <a:latin typeface="Avenir Next Condensed" panose="020B0506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[0]!arr_x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xVal>
          <c:yVal>
            <c:numRef>
              <c:f>[0]!arr_y</c:f>
              <c:numCache>
                <c:formatCode>General</c:formatCode>
                <c:ptCount val="5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</c:numCache>
            </c:numRef>
          </c:yVal>
          <c:bubbleSize>
            <c:numRef>
              <c:f>[0]!arr_h</c:f>
              <c:numCache>
                <c:formatCode>General</c:formatCode>
                <c:ptCount val="54"/>
                <c:pt idx="0">
                  <c:v>600000</c:v>
                </c:pt>
                <c:pt idx="1">
                  <c:v>300000</c:v>
                </c:pt>
                <c:pt idx="2">
                  <c:v>200000</c:v>
                </c:pt>
                <c:pt idx="3">
                  <c:v>200000</c:v>
                </c:pt>
                <c:pt idx="4">
                  <c:v>100000</c:v>
                </c:pt>
                <c:pt idx="5">
                  <c:v>100000</c:v>
                </c:pt>
                <c:pt idx="6">
                  <c:v>500000</c:v>
                </c:pt>
                <c:pt idx="7">
                  <c:v>300000</c:v>
                </c:pt>
                <c:pt idx="8">
                  <c:v>200000</c:v>
                </c:pt>
                <c:pt idx="9">
                  <c:v>0</c:v>
                </c:pt>
                <c:pt idx="10">
                  <c:v>200000</c:v>
                </c:pt>
                <c:pt idx="11">
                  <c:v>0</c:v>
                </c:pt>
                <c:pt idx="12">
                  <c:v>400000</c:v>
                </c:pt>
                <c:pt idx="13">
                  <c:v>200000</c:v>
                </c:pt>
                <c:pt idx="14">
                  <c:v>100000</c:v>
                </c:pt>
                <c:pt idx="15">
                  <c:v>400000</c:v>
                </c:pt>
                <c:pt idx="16">
                  <c:v>100000</c:v>
                </c:pt>
                <c:pt idx="17">
                  <c:v>0</c:v>
                </c:pt>
                <c:pt idx="18">
                  <c:v>200000</c:v>
                </c:pt>
                <c:pt idx="19">
                  <c:v>100000</c:v>
                </c:pt>
                <c:pt idx="20">
                  <c:v>0</c:v>
                </c:pt>
                <c:pt idx="21">
                  <c:v>100000</c:v>
                </c:pt>
                <c:pt idx="22">
                  <c:v>200000</c:v>
                </c:pt>
                <c:pt idx="23">
                  <c:v>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0</c:v>
                </c:pt>
                <c:pt idx="28">
                  <c:v>0</c:v>
                </c:pt>
                <c:pt idx="29">
                  <c:v>200000</c:v>
                </c:pt>
                <c:pt idx="30">
                  <c:v>100000</c:v>
                </c:pt>
                <c:pt idx="31">
                  <c:v>100000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100000</c:v>
                </c:pt>
                <c:pt idx="37">
                  <c:v>200000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100000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100000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bubbleSize>
          <c:bubble3D val="0"/>
        </c:ser>
        <c:ser>
          <c:idx val="2"/>
          <c:order val="2"/>
          <c:tx>
            <c:v>axis_x</c:v>
          </c:tx>
          <c:spPr>
            <a:noFill/>
            <a:ln w="53975">
              <a:noFill/>
            </a:ln>
          </c:spPr>
          <c:invertIfNegative val="0"/>
          <c:dLbls>
            <c:dLbl>
              <c:idx val="0"/>
              <c:layout>
                <c:manualLayout>
                  <c:x val="-4.3487439165767208E-2"/>
                  <c:y val="2.2087200187397345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005785035555454E-2"/>
                  <c:y val="2.8313030689048078E-4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869585545455448E-2"/>
                  <c:y val="2.8161218192055863E-4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037524387014125E-2"/>
                  <c:y val="4.137649605522817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48038131154903E-2"/>
                  <c:y val="4.137649605522817E-3"/>
                </c:manualLayout>
              </c:layout>
              <c:tx>
                <c:rich>
                  <a:bodyPr/>
                  <a:lstStyle/>
                  <a:p>
                    <a:r>
                      <a:rPr lang="en-US" sz="1050">
                        <a:solidFill>
                          <a:schemeClr val="bg1"/>
                        </a:solidFill>
                      </a:rPr>
                      <a:t>Host </a:t>
                    </a:r>
                    <a:br>
                      <a:rPr lang="en-US" sz="1050">
                        <a:solidFill>
                          <a:schemeClr val="bg1"/>
                        </a:solidFill>
                      </a:rPr>
                    </a:br>
                    <a:r>
                      <a:rPr lang="en-US" sz="1050">
                        <a:solidFill>
                          <a:schemeClr val="bg1"/>
                        </a:solidFill>
                      </a:rPr>
                      <a:t>Communities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830793042103778E-2"/>
                  <c:y val="7.6560560358143901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68280821381392"/>
                      <c:h val="7.204849903489293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bIns="45720" anchor="b" anchorCtr="0"/>
              <a:lstStyle/>
              <a:p>
                <a:pPr>
                  <a:defRPr sz="1050" b="0">
                    <a:solidFill>
                      <a:schemeClr val="bg1"/>
                    </a:solidFill>
                    <a:latin typeface="Avenir Next Condensed" panose="020B0506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strRef>
              <c:f>'PN Location'!$B$7:$G$7</c:f>
              <c:strCache>
                <c:ptCount val="6"/>
                <c:pt idx="0">
                  <c:v>IDPs</c:v>
                </c:pt>
                <c:pt idx="1">
                  <c:v>Refugees</c:v>
                </c:pt>
                <c:pt idx="2">
                  <c:v>Migrant</c:v>
                </c:pt>
                <c:pt idx="3">
                  <c:v>Returnees</c:v>
                </c:pt>
                <c:pt idx="4">
                  <c:v>Host Communities</c:v>
                </c:pt>
                <c:pt idx="5">
                  <c:v>Lorem Ipsum</c:v>
                </c:pt>
              </c:strCache>
            </c:strRef>
          </c:xVal>
          <c:yVal>
            <c:numRef>
              <c:f>[0]!asse_x_val_y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bubbleSize>
            <c:numRef>
              <c:f>[0]!asse_x_val_h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1"/>
        <c:axId val="324346688"/>
        <c:axId val="324347472"/>
      </c:bubbleChart>
      <c:bubbleChart>
        <c:varyColors val="0"/>
        <c:ser>
          <c:idx val="1"/>
          <c:order val="1"/>
          <c:tx>
            <c:v>axis_y</c:v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703993835923446E-2"/>
                  <c:y val="0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258027498861763E-2"/>
                  <c:y val="-1.5181249699221491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en-US" sz="1100" b="0" i="0" u="none" strike="noStrike" kern="1200" baseline="0">
                      <a:solidFill>
                        <a:schemeClr val="bg1"/>
                      </a:solidFill>
                      <a:latin typeface="Avenir Next" panose="020B05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07379174174293"/>
                  <c:y val="3.856037423602258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100" b="0" i="0" u="none" strike="noStrike" kern="1200" baseline="0">
                      <a:solidFill>
                        <a:schemeClr val="bg1"/>
                      </a:solidFill>
                      <a:latin typeface="Avenir Next" panose="020B05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865813608898546"/>
                  <c:y val="5.784056135403388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100" b="0" i="0" u="none" strike="noStrike" kern="1200" baseline="0">
                      <a:solidFill>
                        <a:schemeClr val="bg1"/>
                      </a:solidFill>
                      <a:latin typeface="Avenir Next" panose="020B05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8329146304618961E-2"/>
                  <c:y val="-9.640245371502638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100" b="0" i="0" u="none" strike="noStrike" kern="1200" baseline="0">
                      <a:solidFill>
                        <a:schemeClr val="bg1"/>
                      </a:solidFill>
                      <a:latin typeface="Avenir Next" panose="020B05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36477699810616E-2"/>
                  <c:y val="-1.928018711801058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100" b="0" i="0" u="none" strike="noStrike" kern="1200" baseline="0">
                      <a:solidFill>
                        <a:schemeClr val="bg1"/>
                      </a:solidFill>
                      <a:latin typeface="Avenir Next" panose="020B05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672339294258244E-2"/>
                  <c:y val="1.928018711801129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100" b="0" i="0" u="none" strike="noStrike" kern="1200" baseline="0">
                      <a:solidFill>
                        <a:schemeClr val="bg1"/>
                      </a:solidFill>
                      <a:latin typeface="Avenir Next" panose="020B05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844805299386126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100" b="0" i="0" u="none" strike="noStrike" kern="1200" baseline="0">
                      <a:solidFill>
                        <a:schemeClr val="bg1"/>
                      </a:solidFill>
                      <a:latin typeface="Avenir Next" panose="020B05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6790647948501484E-2"/>
                  <c:y val="1.928018711801129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GB" sz="1100" b="0" i="0" u="none" strike="noStrike" kern="1200" baseline="0">
                      <a:solidFill>
                        <a:schemeClr val="bg1"/>
                      </a:solidFill>
                      <a:latin typeface="Avenir Next" panose="020B05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chemeClr val="bg1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'PN Location'!$A$8:$A$17</c:f>
              <c:strCache>
                <c:ptCount val="9"/>
                <c:pt idx="0">
                  <c:v>ADEN</c:v>
                </c:pt>
                <c:pt idx="1">
                  <c:v>ABYAN</c:v>
                </c:pt>
                <c:pt idx="2">
                  <c:v>AL BAYDA</c:v>
                </c:pt>
                <c:pt idx="3">
                  <c:v>AL DHALE'E</c:v>
                </c:pt>
                <c:pt idx="4">
                  <c:v>AL JAWF</c:v>
                </c:pt>
                <c:pt idx="5">
                  <c:v>IBB</c:v>
                </c:pt>
                <c:pt idx="6">
                  <c:v>LAHJ</c:v>
                </c:pt>
                <c:pt idx="7">
                  <c:v>MARIB</c:v>
                </c:pt>
                <c:pt idx="8">
                  <c:v>HAJJAH</c:v>
                </c:pt>
              </c:strCache>
            </c:strRef>
          </c:xVal>
          <c:yVal>
            <c:numRef>
              <c:f>[0]!asse_y_val_y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yVal>
          <c:bubbleSize>
            <c:numRef>
              <c:f>[0]!asse_y_val_h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"/>
        <c:showNegBubbles val="1"/>
        <c:axId val="324348256"/>
        <c:axId val="324351392"/>
      </c:bubbleChart>
      <c:valAx>
        <c:axId val="3243466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9050">
            <a:noFill/>
          </a:ln>
        </c:spPr>
        <c:crossAx val="324347472"/>
        <c:crosses val="autoZero"/>
        <c:crossBetween val="midCat"/>
      </c:valAx>
      <c:valAx>
        <c:axId val="324347472"/>
        <c:scaling>
          <c:orientation val="maxMin"/>
          <c:min val="0"/>
        </c:scaling>
        <c:delete val="1"/>
        <c:axPos val="l"/>
        <c:numFmt formatCode=";;;" sourceLinked="0"/>
        <c:majorTickMark val="none"/>
        <c:minorTickMark val="none"/>
        <c:tickLblPos val="nextTo"/>
        <c:crossAx val="324346688"/>
        <c:crosses val="autoZero"/>
        <c:crossBetween val="midCat"/>
        <c:majorUnit val="1"/>
      </c:valAx>
      <c:valAx>
        <c:axId val="3243513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24348256"/>
        <c:crosses val="max"/>
        <c:crossBetween val="midCat"/>
      </c:valAx>
      <c:valAx>
        <c:axId val="324348256"/>
        <c:scaling>
          <c:orientation val="minMax"/>
          <c:max val="1000000"/>
          <c:min val="0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3243513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6DCFF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194086699317999E-2"/>
                  <c:y val="3.59351016990428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73003298107219E-2"/>
                  <c:y val="3.5934913065318763E-2"/>
                </c:manualLayout>
              </c:layout>
              <c:spPr/>
              <c:txPr>
                <a:bodyPr rot="0" vert="horz" anchor="ctr" anchorCtr="0"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chemeClr val="bg1"/>
                      </a:solidFill>
                      <a:latin typeface="Avenir Next" panose="020B05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820723563050256E-2"/>
                  <c:y val="3.59349130653187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3.35390761361550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3.35390761361550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874777954527577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730032981072179E-2"/>
                  <c:y val="3.35390761361551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9100109936907299E-3"/>
                  <c:y val="3.59347244315947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9100109936907299E-3"/>
                  <c:y val="2.63523198835601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sz="900">
                    <a:solidFill>
                      <a:schemeClr val="bg1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Location'!$S$8:$S$16</c:f>
              <c:numCache>
                <c:formatCode>0%</c:formatCode>
                <c:ptCount val="9"/>
                <c:pt idx="0">
                  <c:v>0.6333333333333333</c:v>
                </c:pt>
                <c:pt idx="1">
                  <c:v>0.66666666666666663</c:v>
                </c:pt>
                <c:pt idx="2">
                  <c:v>0.625</c:v>
                </c:pt>
                <c:pt idx="3">
                  <c:v>0.56666666666666665</c:v>
                </c:pt>
                <c:pt idx="4">
                  <c:v>0.5</c:v>
                </c:pt>
                <c:pt idx="5">
                  <c:v>0.45</c:v>
                </c:pt>
                <c:pt idx="6">
                  <c:v>0.53333333333333333</c:v>
                </c:pt>
                <c:pt idx="7">
                  <c:v>0.25</c:v>
                </c:pt>
                <c:pt idx="8">
                  <c:v>0.55000000000000004</c:v>
                </c:pt>
              </c:numCache>
            </c:numRef>
          </c:val>
        </c:ser>
        <c:ser>
          <c:idx val="1"/>
          <c:order val="1"/>
          <c:spPr>
            <a:solidFill>
              <a:srgbClr val="00467C"/>
            </a:solidFill>
            <a:ln>
              <a:noFill/>
            </a:ln>
            <a:effectLst/>
          </c:spPr>
          <c:invertIfNegative val="0"/>
          <c:val>
            <c:numRef>
              <c:f>'PN Location'!$T$8:$T$16</c:f>
              <c:numCache>
                <c:formatCode>0%</c:formatCode>
                <c:ptCount val="9"/>
                <c:pt idx="0">
                  <c:v>0.36666666666666664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0.43333333333333335</c:v>
                </c:pt>
                <c:pt idx="4">
                  <c:v>0.5</c:v>
                </c:pt>
                <c:pt idx="5">
                  <c:v>0.55000000000000004</c:v>
                </c:pt>
                <c:pt idx="6">
                  <c:v>0.46666666666666667</c:v>
                </c:pt>
                <c:pt idx="7">
                  <c:v>0.75</c:v>
                </c:pt>
                <c:pt idx="8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325331848"/>
        <c:axId val="325327144"/>
      </c:barChart>
      <c:catAx>
        <c:axId val="325331848"/>
        <c:scaling>
          <c:orientation val="maxMin"/>
        </c:scaling>
        <c:delete val="1"/>
        <c:axPos val="l"/>
        <c:majorTickMark val="none"/>
        <c:minorTickMark val="none"/>
        <c:tickLblPos val="nextTo"/>
        <c:crossAx val="325327144"/>
        <c:crosses val="autoZero"/>
        <c:auto val="1"/>
        <c:lblAlgn val="ctr"/>
        <c:lblOffset val="100"/>
        <c:noMultiLvlLbl val="0"/>
      </c:catAx>
      <c:valAx>
        <c:axId val="325327144"/>
        <c:scaling>
          <c:orientation val="minMax"/>
        </c:scaling>
        <c:delete val="1"/>
        <c:axPos val="t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extTo"/>
        <c:crossAx val="32533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'PN Location'!$K$7</c:f>
              <c:strCache>
                <c:ptCount val="1"/>
                <c:pt idx="0">
                  <c:v>Children (&lt;18 years)</c:v>
                </c:pt>
              </c:strCache>
            </c:strRef>
          </c:tx>
          <c:spPr>
            <a:solidFill>
              <a:srgbClr val="6DCFF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02431131936708E-2"/>
                  <c:y val="3.1012699837894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8626948601439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250128446348403E-2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5750179824887767"/>
                  <c:y val="2.862676076180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250128446348403E-2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3.1012324158619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2.6241197364985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126193327870113"/>
                  <c:y val="2.8626948601439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GB" sz="900" b="0" i="0" u="none" strike="noStrike" kern="1200" baseline="0">
                    <a:solidFill>
                      <a:srgbClr val="6DCFF6"/>
                    </a:solidFill>
                    <a:latin typeface="Avenir Next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Location'!$L$8:$L$16</c:f>
              <c:numCache>
                <c:formatCode>0</c:formatCode>
                <c:ptCount val="9"/>
                <c:pt idx="0">
                  <c:v>36.666666666666664</c:v>
                </c:pt>
                <c:pt idx="1">
                  <c:v>25</c:v>
                </c:pt>
                <c:pt idx="2">
                  <c:v>29.166666666666668</c:v>
                </c:pt>
                <c:pt idx="3">
                  <c:v>76.666666666666671</c:v>
                </c:pt>
                <c:pt idx="4">
                  <c:v>20</c:v>
                </c:pt>
                <c:pt idx="5">
                  <c:v>25</c:v>
                </c:pt>
                <c:pt idx="6">
                  <c:v>23.333333333333332</c:v>
                </c:pt>
                <c:pt idx="7">
                  <c:v>10</c:v>
                </c:pt>
                <c:pt idx="8">
                  <c:v>80</c:v>
                </c:pt>
              </c:numCache>
            </c:numRef>
          </c:val>
        </c:ser>
        <c:ser>
          <c:idx val="1"/>
          <c:order val="1"/>
          <c:tx>
            <c:strRef>
              <c:f>'PN Location'!$M$7</c:f>
              <c:strCache>
                <c:ptCount val="1"/>
                <c:pt idx="0">
                  <c:v>Adult (18-59 years)</c:v>
                </c:pt>
              </c:strCache>
            </c:strRef>
          </c:tx>
          <c:spPr>
            <a:solidFill>
              <a:srgbClr val="00467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478563874121857E-2"/>
                  <c:y val="2.862694860143997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rgbClr val="00467C"/>
                        </a:solidFill>
                      </a:rPr>
                      <a:t>50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500154135618089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125115601713564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668571788783593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23809823986328E-2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7833343839521424E-2"/>
                  <c:y val="3.1012324158619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11904911993164E-2"/>
                  <c:y val="2.862676076180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35714735979492E-2"/>
                  <c:y val="2.862676076180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902383503883788"/>
                  <c:y val="3.1012324158619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467C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Location'!$N$8:$N$16</c:f>
              <c:numCache>
                <c:formatCode>0</c:formatCode>
                <c:ptCount val="9"/>
                <c:pt idx="0">
                  <c:v>50</c:v>
                </c:pt>
                <c:pt idx="1">
                  <c:v>66.666666666666657</c:v>
                </c:pt>
                <c:pt idx="2">
                  <c:v>62.5</c:v>
                </c:pt>
                <c:pt idx="3">
                  <c:v>8.3333333333333321</c:v>
                </c:pt>
                <c:pt idx="4">
                  <c:v>70</c:v>
                </c:pt>
                <c:pt idx="5">
                  <c:v>75</c:v>
                </c:pt>
                <c:pt idx="6">
                  <c:v>70</c:v>
                </c:pt>
                <c:pt idx="7">
                  <c:v>80</c:v>
                </c:pt>
                <c:pt idx="8">
                  <c:v>20</c:v>
                </c:pt>
              </c:numCache>
            </c:numRef>
          </c:val>
        </c:ser>
        <c:ser>
          <c:idx val="2"/>
          <c:order val="2"/>
          <c:tx>
            <c:strRef>
              <c:f>'PN Location'!$O$7</c:f>
              <c:strCache>
                <c:ptCount val="1"/>
                <c:pt idx="0">
                  <c:v>Elderly (&gt;59 years)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2501284463483E-2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 sz="700" b="0">
                        <a:solidFill>
                          <a:schemeClr val="bg1"/>
                        </a:solidFill>
                      </a:rPr>
                      <a:t>13%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11904911993164E-2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chemeClr val="bg1"/>
                        </a:solidFill>
                      </a:rPr>
                      <a:t>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47619647972656E-2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chemeClr val="bg1"/>
                        </a:solidFill>
                      </a:rPr>
                      <a:t>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119049119931538E-2"/>
                  <c:y val="3.1012511998256848E-2"/>
                </c:manualLayout>
              </c:layout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chemeClr val="bg1"/>
                        </a:solidFill>
                      </a:rPr>
                      <a:t>15%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11904911993164E-2"/>
                  <c:y val="2.6241197364985563E-2"/>
                </c:manualLayout>
              </c:layout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chemeClr val="bg1"/>
                        </a:solidFill>
                      </a:rPr>
                      <a:t>10%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7619647972656E-2"/>
                  <c:y val="2.6241197364985563E-2"/>
                </c:manualLayout>
              </c:layout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chemeClr val="bg1"/>
                        </a:solidFill>
                      </a:rPr>
                      <a:t>0</a:t>
                    </a:r>
                    <a:r>
                      <a:rPr lang="en-US" sz="700" b="0" i="0" u="none" strike="noStrike" baseline="0">
                        <a:solidFill>
                          <a:schemeClr val="bg1"/>
                        </a:solidFill>
                        <a:effectLst/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119049119931538E-2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chemeClr val="bg1"/>
                        </a:solidFill>
                      </a:rPr>
                      <a:t>7</a:t>
                    </a:r>
                    <a:r>
                      <a:rPr lang="en-US" sz="700" b="0" i="0" u="none" strike="noStrike" baseline="0">
                        <a:solidFill>
                          <a:schemeClr val="bg1"/>
                        </a:solidFill>
                        <a:effectLst/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11904911993164E-2"/>
                  <c:y val="2.8626760761802521E-2"/>
                </c:manualLayout>
              </c:layout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chemeClr val="bg1"/>
                        </a:solidFill>
                      </a:rPr>
                      <a:t>10</a:t>
                    </a:r>
                    <a:r>
                      <a:rPr lang="en-US" sz="700" b="0" i="0" u="none" strike="noStrike" baseline="0">
                        <a:solidFill>
                          <a:schemeClr val="bg1"/>
                        </a:solidFill>
                        <a:effectLst/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6714294719589839E-2"/>
                  <c:y val="2.8626760761802435E-2"/>
                </c:manualLayout>
              </c:layout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chemeClr val="bg1"/>
                        </a:solidFill>
                      </a:rPr>
                      <a:t>0</a:t>
                    </a:r>
                    <a:r>
                      <a:rPr lang="en-US" sz="700" b="0" i="0" u="none" strike="noStrike" baseline="0">
                        <a:solidFill>
                          <a:schemeClr val="bg1"/>
                        </a:solidFill>
                        <a:effectLst/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>
                    <a:solidFill>
                      <a:schemeClr val="bg1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Location'!$P$8:$P$16</c:f>
              <c:numCache>
                <c:formatCode>0</c:formatCode>
                <c:ptCount val="9"/>
                <c:pt idx="0">
                  <c:v>13.333333333333334</c:v>
                </c:pt>
                <c:pt idx="1">
                  <c:v>8.3333333333333321</c:v>
                </c:pt>
                <c:pt idx="2">
                  <c:v>8.3333333333333321</c:v>
                </c:pt>
                <c:pt idx="3">
                  <c:v>15</c:v>
                </c:pt>
                <c:pt idx="4">
                  <c:v>10</c:v>
                </c:pt>
                <c:pt idx="5">
                  <c:v>0</c:v>
                </c:pt>
                <c:pt idx="6">
                  <c:v>6.666666666666667</c:v>
                </c:pt>
                <c:pt idx="7">
                  <c:v>10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axId val="325324792"/>
        <c:axId val="325330280"/>
      </c:barChart>
      <c:catAx>
        <c:axId val="325324792"/>
        <c:scaling>
          <c:orientation val="maxMin"/>
        </c:scaling>
        <c:delete val="1"/>
        <c:axPos val="l"/>
        <c:majorTickMark val="none"/>
        <c:minorTickMark val="none"/>
        <c:tickLblPos val="nextTo"/>
        <c:crossAx val="325330280"/>
        <c:crosses val="autoZero"/>
        <c:auto val="1"/>
        <c:lblAlgn val="ctr"/>
        <c:lblOffset val="100"/>
        <c:noMultiLvlLbl val="0"/>
      </c:catAx>
      <c:valAx>
        <c:axId val="32533028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32532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'PN Location'!$Q$7</c:f>
              <c:strCache>
                <c:ptCount val="1"/>
                <c:pt idx="0">
                  <c:v>In Need</c:v>
                </c:pt>
              </c:strCache>
            </c:strRef>
          </c:tx>
          <c:spPr>
            <a:solidFill>
              <a:srgbClr val="6DCFF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3571246095548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30397802172846E-2"/>
                  <c:y val="-2.877535379618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767992673909741E-3"/>
                  <c:y val="-3.117329994586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877535379618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476799267390955E-3"/>
                  <c:y val="-3.117329994586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76799267390955E-3"/>
                  <c:y val="-3.117329994586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4767992673909359E-3"/>
                  <c:y val="-2.877535379618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95359853478191E-2"/>
                  <c:y val="-2.8775353796184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476799267390955E-3"/>
                  <c:y val="-2.397946149682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rgbClr val="6DCFF6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Location'!$Q$8:$Q$16</c:f>
              <c:numCache>
                <c:formatCode>#,##0.0,,"M"\ ;;</c:formatCode>
                <c:ptCount val="9"/>
                <c:pt idx="0">
                  <c:v>1500000</c:v>
                </c:pt>
                <c:pt idx="1">
                  <c:v>1200000</c:v>
                </c:pt>
                <c:pt idx="2">
                  <c:v>1200000</c:v>
                </c:pt>
                <c:pt idx="3">
                  <c:v>600000</c:v>
                </c:pt>
                <c:pt idx="4">
                  <c:v>500000</c:v>
                </c:pt>
                <c:pt idx="5">
                  <c:v>200000</c:v>
                </c:pt>
                <c:pt idx="6">
                  <c:v>300000</c:v>
                </c:pt>
                <c:pt idx="7">
                  <c:v>100000</c:v>
                </c:pt>
                <c:pt idx="8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'PN Location'!$R$7</c:f>
              <c:strCache>
                <c:ptCount val="1"/>
                <c:pt idx="0">
                  <c:v>Total Affected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76799267390955E-3"/>
                  <c:y val="-3.596919224523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30397802172863E-2"/>
                  <c:y val="-2.877535379618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703095651625456E-17"/>
                  <c:y val="-2.8775353796184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877535379618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30397802172863E-2"/>
                  <c:y val="-3.836713839491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476799267390955E-3"/>
                  <c:y val="-2.877535379618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476799267390955E-3"/>
                  <c:y val="-3.117329994586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430397802172787E-2"/>
                  <c:y val="-2.8775353796184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476799267390955E-3"/>
                  <c:y val="-2.6377407646502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'PN Location'!$R$8:$R$16</c:f>
              <c:numCache>
                <c:formatCode>#,##0.0,,"M"\ ;;</c:formatCode>
                <c:ptCount val="9"/>
                <c:pt idx="0">
                  <c:v>3555000</c:v>
                </c:pt>
                <c:pt idx="1">
                  <c:v>1536000</c:v>
                </c:pt>
                <c:pt idx="2">
                  <c:v>2220000</c:v>
                </c:pt>
                <c:pt idx="3">
                  <c:v>1290000</c:v>
                </c:pt>
                <c:pt idx="4">
                  <c:v>1245000</c:v>
                </c:pt>
                <c:pt idx="5">
                  <c:v>470000</c:v>
                </c:pt>
                <c:pt idx="6">
                  <c:v>573000</c:v>
                </c:pt>
                <c:pt idx="7">
                  <c:v>162000</c:v>
                </c:pt>
                <c:pt idx="8">
                  <c:v>184000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325327536"/>
        <c:axId val="325328320"/>
      </c:barChart>
      <c:catAx>
        <c:axId val="325327536"/>
        <c:scaling>
          <c:orientation val="minMax"/>
        </c:scaling>
        <c:delete val="1"/>
        <c:axPos val="l"/>
        <c:majorTickMark val="none"/>
        <c:minorTickMark val="none"/>
        <c:tickLblPos val="nextTo"/>
        <c:crossAx val="325328320"/>
        <c:crosses val="autoZero"/>
        <c:auto val="1"/>
        <c:lblAlgn val="ctr"/>
        <c:lblOffset val="100"/>
        <c:noMultiLvlLbl val="0"/>
      </c:catAx>
      <c:valAx>
        <c:axId val="3253283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2532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8688822063862E-2"/>
          <c:y val="5.1323725332493263E-2"/>
          <c:w val="0.86262622355872276"/>
          <c:h val="0.94205456814153998"/>
        </c:manualLayout>
      </c:layout>
      <c:pieChart>
        <c:varyColors val="1"/>
        <c:ser>
          <c:idx val="0"/>
          <c:order val="0"/>
          <c:spPr>
            <a:solidFill>
              <a:srgbClr val="026CB6"/>
            </a:solidFill>
            <a:ln>
              <a:noFill/>
            </a:ln>
          </c:spPr>
          <c:dPt>
            <c:idx val="0"/>
            <c:bubble3D val="0"/>
            <c:spPr>
              <a:solidFill>
                <a:srgbClr val="026CB6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6DCFF6"/>
              </a:solidFill>
              <a:ln w="19050">
                <a:noFill/>
              </a:ln>
              <a:effectLst/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venir Next" panose="020B0503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6397280966767372"/>
                  <c:y val="0.11798208529302964"/>
                </c:manualLayout>
              </c:layout>
              <c:spPr/>
              <c:txPr>
                <a:bodyPr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venir Next" panose="020B0503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  <a:latin typeface="Avenir Next" panose="020B0503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'Sector Charts'!$S$8:$T$8</c:f>
              <c:numCache>
                <c:formatCode>0%\ "M"</c:formatCode>
                <c:ptCount val="2"/>
                <c:pt idx="0" formatCode="0%\ &quot;F&quot;">
                  <c:v>0.6333333333333333</c:v>
                </c:pt>
                <c:pt idx="1">
                  <c:v>0.36666666666666664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ector Footer Charts'!A1"/><Relationship Id="rId2" Type="http://schemas.openxmlformats.org/officeDocument/2006/relationships/image" Target="../media/image1.png"/><Relationship Id="rId1" Type="http://schemas.openxmlformats.org/officeDocument/2006/relationships/hyperlink" Target="#'PN Sector'!A1"/><Relationship Id="rId6" Type="http://schemas.openxmlformats.org/officeDocument/2006/relationships/image" Target="../media/image3.emf"/><Relationship Id="rId5" Type="http://schemas.openxmlformats.org/officeDocument/2006/relationships/hyperlink" Target="#'PN Caseload'!A1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chart" Target="../charts/chart3.xml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chart" Target="../charts/chart4.xml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3.png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5.xml"/><Relationship Id="rId7" Type="http://schemas.openxmlformats.org/officeDocument/2006/relationships/image" Target="../media/image14.png"/><Relationship Id="rId12" Type="http://schemas.microsoft.com/office/2007/relationships/hdphoto" Target="../media/hdphoto2.wdp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image" Target="../media/image16.png"/><Relationship Id="rId5" Type="http://schemas.openxmlformats.org/officeDocument/2006/relationships/chart" Target="../charts/chart17.xml"/><Relationship Id="rId10" Type="http://schemas.microsoft.com/office/2007/relationships/hdphoto" Target="../media/hdphoto1.wdp"/><Relationship Id="rId4" Type="http://schemas.openxmlformats.org/officeDocument/2006/relationships/chart" Target="../charts/chart16.xml"/><Relationship Id="rId9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microsoft.com/office/2007/relationships/hdphoto" Target="../media/hdphoto4.wdp"/><Relationship Id="rId3" Type="http://schemas.openxmlformats.org/officeDocument/2006/relationships/image" Target="../media/image17.png"/><Relationship Id="rId7" Type="http://schemas.openxmlformats.org/officeDocument/2006/relationships/image" Target="../media/image20.png"/><Relationship Id="rId12" Type="http://schemas.openxmlformats.org/officeDocument/2006/relationships/image" Target="../media/image23.pn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image" Target="../media/image19.png"/><Relationship Id="rId11" Type="http://schemas.openxmlformats.org/officeDocument/2006/relationships/image" Target="../media/image22.png"/><Relationship Id="rId5" Type="http://schemas.openxmlformats.org/officeDocument/2006/relationships/image" Target="../media/image18.png"/><Relationship Id="rId10" Type="http://schemas.microsoft.com/office/2007/relationships/hdphoto" Target="../media/hdphoto3.wdp"/><Relationship Id="rId4" Type="http://schemas.microsoft.com/office/2007/relationships/hdphoto" Target="../media/hdphoto1.wdp"/><Relationship Id="rId9" Type="http://schemas.openxmlformats.org/officeDocument/2006/relationships/image" Target="../media/image21.png"/><Relationship Id="rId14" Type="http://schemas.openxmlformats.org/officeDocument/2006/relationships/image" Target="../media/image2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png"/><Relationship Id="rId13" Type="http://schemas.openxmlformats.org/officeDocument/2006/relationships/image" Target="../media/image37.png"/><Relationship Id="rId3" Type="http://schemas.openxmlformats.org/officeDocument/2006/relationships/image" Target="../media/image27.png"/><Relationship Id="rId7" Type="http://schemas.openxmlformats.org/officeDocument/2006/relationships/image" Target="../media/image31.png"/><Relationship Id="rId12" Type="http://schemas.openxmlformats.org/officeDocument/2006/relationships/image" Target="../media/image36.png"/><Relationship Id="rId2" Type="http://schemas.openxmlformats.org/officeDocument/2006/relationships/image" Target="../media/image26.png"/><Relationship Id="rId1" Type="http://schemas.openxmlformats.org/officeDocument/2006/relationships/image" Target="../media/image25.png"/><Relationship Id="rId6" Type="http://schemas.openxmlformats.org/officeDocument/2006/relationships/image" Target="../media/image30.png"/><Relationship Id="rId11" Type="http://schemas.openxmlformats.org/officeDocument/2006/relationships/image" Target="../media/image35.png"/><Relationship Id="rId5" Type="http://schemas.openxmlformats.org/officeDocument/2006/relationships/image" Target="../media/image29.png"/><Relationship Id="rId10" Type="http://schemas.openxmlformats.org/officeDocument/2006/relationships/image" Target="../media/image34.png"/><Relationship Id="rId4" Type="http://schemas.openxmlformats.org/officeDocument/2006/relationships/image" Target="../media/image28.png"/><Relationship Id="rId9" Type="http://schemas.openxmlformats.org/officeDocument/2006/relationships/image" Target="../media/image33.png"/><Relationship Id="rId14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69946</xdr:colOff>
      <xdr:row>4</xdr:row>
      <xdr:rowOff>45995</xdr:rowOff>
    </xdr:from>
    <xdr:to>
      <xdr:col>4</xdr:col>
      <xdr:colOff>579276</xdr:colOff>
      <xdr:row>18</xdr:row>
      <xdr:rowOff>78995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96" y="1071764"/>
          <a:ext cx="2333734" cy="270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527539</xdr:colOff>
      <xdr:row>4</xdr:row>
      <xdr:rowOff>118566</xdr:rowOff>
    </xdr:from>
    <xdr:to>
      <xdr:col>21</xdr:col>
      <xdr:colOff>245279</xdr:colOff>
      <xdr:row>12</xdr:row>
      <xdr:rowOff>16852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185"/>
        <a:stretch/>
      </xdr:blipFill>
      <xdr:spPr bwMode="auto">
        <a:xfrm>
          <a:off x="7312270" y="1144335"/>
          <a:ext cx="5190951" cy="1422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313767</xdr:colOff>
      <xdr:row>3</xdr:row>
      <xdr:rowOff>134471</xdr:rowOff>
    </xdr:from>
    <xdr:to>
      <xdr:col>10</xdr:col>
      <xdr:colOff>509896</xdr:colOff>
      <xdr:row>19</xdr:row>
      <xdr:rowOff>78441</xdr:rowOff>
    </xdr:to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6" y="963706"/>
          <a:ext cx="2011482" cy="2991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248179</xdr:colOff>
      <xdr:row>22</xdr:row>
      <xdr:rowOff>32113</xdr:rowOff>
    </xdr:from>
    <xdr:to>
      <xdr:col>6</xdr:col>
      <xdr:colOff>1005840</xdr:colOff>
      <xdr:row>57</xdr:row>
      <xdr:rowOff>96466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776817</xdr:colOff>
      <xdr:row>27</xdr:row>
      <xdr:rowOff>145869</xdr:rowOff>
    </xdr:from>
    <xdr:to>
      <xdr:col>8</xdr:col>
      <xdr:colOff>647700</xdr:colOff>
      <xdr:row>56</xdr:row>
      <xdr:rowOff>67428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782195</xdr:colOff>
      <xdr:row>24</xdr:row>
      <xdr:rowOff>110718</xdr:rowOff>
    </xdr:from>
    <xdr:to>
      <xdr:col>6</xdr:col>
      <xdr:colOff>782195</xdr:colOff>
      <xdr:row>56</xdr:row>
      <xdr:rowOff>14347</xdr:rowOff>
    </xdr:to>
    <xdr:cxnSp macro="">
      <xdr:nvCxnSpPr>
        <xdr:cNvPr id="5" name="Straight Connector 4"/>
        <xdr:cNvCxnSpPr/>
      </xdr:nvCxnSpPr>
      <xdr:spPr>
        <a:xfrm>
          <a:off x="5979035" y="5360898"/>
          <a:ext cx="0" cy="58319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876806</xdr:colOff>
      <xdr:row>25</xdr:row>
      <xdr:rowOff>73590</xdr:rowOff>
    </xdr:from>
    <xdr:to>
      <xdr:col>7</xdr:col>
      <xdr:colOff>510540</xdr:colOff>
      <xdr:row>26</xdr:row>
      <xdr:rowOff>131941</xdr:rowOff>
    </xdr:to>
    <xdr:sp macro="" textlink="">
      <xdr:nvSpPr>
        <xdr:cNvPr id="6" name="TextBox 5"/>
        <xdr:cNvSpPr txBox="1"/>
      </xdr:nvSpPr>
      <xdr:spPr>
        <a:xfrm>
          <a:off x="6073646" y="5506650"/>
          <a:ext cx="670054" cy="241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000">
              <a:solidFill>
                <a:srgbClr val="026CB6"/>
              </a:solidFill>
            </a:rPr>
            <a:t>% Female</a:t>
          </a:r>
        </a:p>
      </xdr:txBody>
    </xdr:sp>
    <xdr:clientData/>
  </xdr:twoCellAnchor>
  <xdr:twoCellAnchor>
    <xdr:from>
      <xdr:col>8</xdr:col>
      <xdr:colOff>44693</xdr:colOff>
      <xdr:row>24</xdr:row>
      <xdr:rowOff>141198</xdr:rowOff>
    </xdr:from>
    <xdr:to>
      <xdr:col>8</xdr:col>
      <xdr:colOff>44693</xdr:colOff>
      <xdr:row>56</xdr:row>
      <xdr:rowOff>44827</xdr:rowOff>
    </xdr:to>
    <xdr:cxnSp macro="">
      <xdr:nvCxnSpPr>
        <xdr:cNvPr id="7" name="Straight Connector 6"/>
        <xdr:cNvCxnSpPr/>
      </xdr:nvCxnSpPr>
      <xdr:spPr>
        <a:xfrm>
          <a:off x="6796013" y="5391378"/>
          <a:ext cx="0" cy="58319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449580</xdr:colOff>
      <xdr:row>27</xdr:row>
      <xdr:rowOff>142988</xdr:rowOff>
    </xdr:from>
    <xdr:to>
      <xdr:col>9</xdr:col>
      <xdr:colOff>495300</xdr:colOff>
      <xdr:row>56</xdr:row>
      <xdr:rowOff>86958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74616</xdr:colOff>
      <xdr:row>24</xdr:row>
      <xdr:rowOff>168534</xdr:rowOff>
    </xdr:from>
    <xdr:to>
      <xdr:col>9</xdr:col>
      <xdr:colOff>381000</xdr:colOff>
      <xdr:row>27</xdr:row>
      <xdr:rowOff>76200</xdr:rowOff>
    </xdr:to>
    <xdr:sp macro="" textlink="">
      <xdr:nvSpPr>
        <xdr:cNvPr id="9" name="TextBox 8"/>
        <xdr:cNvSpPr txBox="1"/>
      </xdr:nvSpPr>
      <xdr:spPr>
        <a:xfrm>
          <a:off x="6825936" y="5418714"/>
          <a:ext cx="1053144" cy="456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000">
              <a:solidFill>
                <a:srgbClr val="026CB6"/>
              </a:solidFill>
            </a:rPr>
            <a:t>% children, adult, elderly</a:t>
          </a:r>
        </a:p>
      </xdr:txBody>
    </xdr:sp>
    <xdr:clientData/>
  </xdr:twoCellAnchor>
  <xdr:twoCellAnchor editAs="absolute">
    <xdr:from>
      <xdr:col>9</xdr:col>
      <xdr:colOff>452513</xdr:colOff>
      <xdr:row>27</xdr:row>
      <xdr:rowOff>153489</xdr:rowOff>
    </xdr:from>
    <xdr:to>
      <xdr:col>12</xdr:col>
      <xdr:colOff>30480</xdr:colOff>
      <xdr:row>56</xdr:row>
      <xdr:rowOff>69968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387420</xdr:colOff>
      <xdr:row>24</xdr:row>
      <xdr:rowOff>168534</xdr:rowOff>
    </xdr:from>
    <xdr:to>
      <xdr:col>10</xdr:col>
      <xdr:colOff>266700</xdr:colOff>
      <xdr:row>27</xdr:row>
      <xdr:rowOff>99060</xdr:rowOff>
    </xdr:to>
    <xdr:sp macro="" textlink="">
      <xdr:nvSpPr>
        <xdr:cNvPr id="11" name="TextBox 10"/>
        <xdr:cNvSpPr txBox="1"/>
      </xdr:nvSpPr>
      <xdr:spPr>
        <a:xfrm>
          <a:off x="7885500" y="5418714"/>
          <a:ext cx="626040" cy="4791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000">
              <a:solidFill>
                <a:srgbClr val="026CB6"/>
              </a:solidFill>
            </a:rPr>
            <a:t>People in need</a:t>
          </a:r>
        </a:p>
      </xdr:txBody>
    </xdr:sp>
    <xdr:clientData/>
  </xdr:twoCellAnchor>
  <xdr:twoCellAnchor>
    <xdr:from>
      <xdr:col>10</xdr:col>
      <xdr:colOff>232944</xdr:colOff>
      <xdr:row>24</xdr:row>
      <xdr:rowOff>160020</xdr:rowOff>
    </xdr:from>
    <xdr:to>
      <xdr:col>11</xdr:col>
      <xdr:colOff>156711</xdr:colOff>
      <xdr:row>27</xdr:row>
      <xdr:rowOff>116701</xdr:rowOff>
    </xdr:to>
    <xdr:sp macro="" textlink="">
      <xdr:nvSpPr>
        <xdr:cNvPr id="12" name="TextBox 11"/>
        <xdr:cNvSpPr txBox="1"/>
      </xdr:nvSpPr>
      <xdr:spPr>
        <a:xfrm>
          <a:off x="8477784" y="5410200"/>
          <a:ext cx="670527" cy="5053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000">
              <a:solidFill>
                <a:srgbClr val="6DCFF6"/>
              </a:solidFill>
            </a:rPr>
            <a:t>Affected people</a:t>
          </a:r>
        </a:p>
      </xdr:txBody>
    </xdr:sp>
    <xdr:clientData/>
  </xdr:twoCellAnchor>
  <xdr:twoCellAnchor>
    <xdr:from>
      <xdr:col>9</xdr:col>
      <xdr:colOff>458388</xdr:colOff>
      <xdr:row>24</xdr:row>
      <xdr:rowOff>125958</xdr:rowOff>
    </xdr:from>
    <xdr:to>
      <xdr:col>9</xdr:col>
      <xdr:colOff>458388</xdr:colOff>
      <xdr:row>56</xdr:row>
      <xdr:rowOff>29587</xdr:rowOff>
    </xdr:to>
    <xdr:cxnSp macro="">
      <xdr:nvCxnSpPr>
        <xdr:cNvPr id="13" name="Straight Connector 12"/>
        <xdr:cNvCxnSpPr/>
      </xdr:nvCxnSpPr>
      <xdr:spPr>
        <a:xfrm>
          <a:off x="7956468" y="5376138"/>
          <a:ext cx="0" cy="58319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412947</xdr:colOff>
      <xdr:row>24</xdr:row>
      <xdr:rowOff>125958</xdr:rowOff>
    </xdr:from>
    <xdr:to>
      <xdr:col>9</xdr:col>
      <xdr:colOff>412947</xdr:colOff>
      <xdr:row>56</xdr:row>
      <xdr:rowOff>29587</xdr:rowOff>
    </xdr:to>
    <xdr:cxnSp macro="">
      <xdr:nvCxnSpPr>
        <xdr:cNvPr id="14" name="Straight Connector 13"/>
        <xdr:cNvCxnSpPr/>
      </xdr:nvCxnSpPr>
      <xdr:spPr>
        <a:xfrm>
          <a:off x="7911027" y="5376138"/>
          <a:ext cx="0" cy="58319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60962</xdr:colOff>
      <xdr:row>27</xdr:row>
      <xdr:rowOff>137162</xdr:rowOff>
    </xdr:from>
    <xdr:to>
      <xdr:col>11</xdr:col>
      <xdr:colOff>403860</xdr:colOff>
      <xdr:row>27</xdr:row>
      <xdr:rowOff>152400</xdr:rowOff>
    </xdr:to>
    <xdr:cxnSp macro="">
      <xdr:nvCxnSpPr>
        <xdr:cNvPr id="15" name="Straight Connector 14"/>
        <xdr:cNvCxnSpPr/>
      </xdr:nvCxnSpPr>
      <xdr:spPr>
        <a:xfrm flipH="1" flipV="1">
          <a:off x="60962" y="5935982"/>
          <a:ext cx="9334498" cy="152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63500</xdr:colOff>
      <xdr:row>28</xdr:row>
      <xdr:rowOff>127000</xdr:rowOff>
    </xdr:from>
    <xdr:to>
      <xdr:col>0</xdr:col>
      <xdr:colOff>368300</xdr:colOff>
      <xdr:row>30</xdr:row>
      <xdr:rowOff>76200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0325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127000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389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34</xdr:row>
      <xdr:rowOff>127000</xdr:rowOff>
    </xdr:from>
    <xdr:to>
      <xdr:col>0</xdr:col>
      <xdr:colOff>368300</xdr:colOff>
      <xdr:row>36</xdr:row>
      <xdr:rowOff>76200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0993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37</xdr:row>
      <xdr:rowOff>127000</xdr:rowOff>
    </xdr:from>
    <xdr:to>
      <xdr:col>0</xdr:col>
      <xdr:colOff>368300</xdr:colOff>
      <xdr:row>39</xdr:row>
      <xdr:rowOff>76200</xdr:rowOff>
    </xdr:to>
    <xdr:pic>
      <xdr:nvPicPr>
        <xdr:cNvPr id="19" name="Picture 1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6327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40</xdr:row>
      <xdr:rowOff>114300</xdr:rowOff>
    </xdr:from>
    <xdr:to>
      <xdr:col>0</xdr:col>
      <xdr:colOff>381000</xdr:colOff>
      <xdr:row>42</xdr:row>
      <xdr:rowOff>63500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1534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43</xdr:row>
      <xdr:rowOff>139700</xdr:rowOff>
    </xdr:from>
    <xdr:to>
      <xdr:col>0</xdr:col>
      <xdr:colOff>355600</xdr:colOff>
      <xdr:row>45</xdr:row>
      <xdr:rowOff>88900</xdr:rowOff>
    </xdr:to>
    <xdr:pic>
      <xdr:nvPicPr>
        <xdr:cNvPr id="21" name="Picture 20"/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87122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46</xdr:row>
      <xdr:rowOff>152400</xdr:rowOff>
    </xdr:from>
    <xdr:to>
      <xdr:col>0</xdr:col>
      <xdr:colOff>368300</xdr:colOff>
      <xdr:row>48</xdr:row>
      <xdr:rowOff>101600</xdr:rowOff>
    </xdr:to>
    <xdr:pic>
      <xdr:nvPicPr>
        <xdr:cNvPr id="22" name="Picture 21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92583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50</xdr:row>
      <xdr:rowOff>0</xdr:rowOff>
    </xdr:from>
    <xdr:to>
      <xdr:col>0</xdr:col>
      <xdr:colOff>342900</xdr:colOff>
      <xdr:row>51</xdr:row>
      <xdr:rowOff>127000</xdr:rowOff>
    </xdr:to>
    <xdr:pic>
      <xdr:nvPicPr>
        <xdr:cNvPr id="23" name="Picture 2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8171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52</xdr:row>
      <xdr:rowOff>152400</xdr:rowOff>
    </xdr:from>
    <xdr:to>
      <xdr:col>0</xdr:col>
      <xdr:colOff>342900</xdr:colOff>
      <xdr:row>54</xdr:row>
      <xdr:rowOff>101600</xdr:rowOff>
    </xdr:to>
    <xdr:pic>
      <xdr:nvPicPr>
        <xdr:cNvPr id="24" name="Picture 2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325100"/>
          <a:ext cx="304800" cy="304800"/>
        </a:xfrm>
        <a:prstGeom prst="rect">
          <a:avLst/>
        </a:prstGeom>
      </xdr:spPr>
    </xdr:pic>
    <xdr:clientData/>
  </xdr:twoCellAnchor>
  <xdr:twoCellAnchor>
    <xdr:from>
      <xdr:col>0</xdr:col>
      <xdr:colOff>1516380</xdr:colOff>
      <xdr:row>23</xdr:row>
      <xdr:rowOff>144780</xdr:rowOff>
    </xdr:from>
    <xdr:to>
      <xdr:col>2</xdr:col>
      <xdr:colOff>1270</xdr:colOff>
      <xdr:row>25</xdr:row>
      <xdr:rowOff>635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516380" y="5212080"/>
          <a:ext cx="900430" cy="221615"/>
        </a:xfrm>
        <a:prstGeom prst="rect">
          <a:avLst/>
        </a:prstGeom>
        <a:solidFill>
          <a:srgbClr val="006DB6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FFFFFF"/>
              </a:solidFill>
              <a:effectLst/>
              <a:latin typeface="Avenir Next"/>
              <a:ea typeface="Calibri"/>
              <a:cs typeface="Arial"/>
            </a:rPr>
            <a:t>BY STATUS</a:t>
          </a:r>
          <a:endParaRPr lang="en-GB" sz="1100">
            <a:effectLst/>
            <a:latin typeface="Calibri"/>
            <a:ea typeface="Calibri"/>
            <a:cs typeface="Arial"/>
          </a:endParaRPr>
        </a:p>
      </xdr:txBody>
    </xdr:sp>
    <xdr:clientData/>
  </xdr:twoCellAnchor>
  <xdr:twoCellAnchor>
    <xdr:from>
      <xdr:col>6</xdr:col>
      <xdr:colOff>784860</xdr:colOff>
      <xdr:row>23</xdr:row>
      <xdr:rowOff>129540</xdr:rowOff>
    </xdr:from>
    <xdr:to>
      <xdr:col>8</xdr:col>
      <xdr:colOff>130810</xdr:colOff>
      <xdr:row>24</xdr:row>
      <xdr:rowOff>168275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5981700" y="5196840"/>
          <a:ext cx="900430" cy="221615"/>
        </a:xfrm>
        <a:prstGeom prst="rect">
          <a:avLst/>
        </a:prstGeom>
        <a:solidFill>
          <a:srgbClr val="006DB6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FFFFFF"/>
              </a:solidFill>
              <a:effectLst/>
              <a:latin typeface="Avenir Next"/>
              <a:ea typeface="Calibri"/>
              <a:cs typeface="Arial"/>
            </a:rPr>
            <a:t>BY  SEX &amp; AGE</a:t>
          </a:r>
          <a:endParaRPr lang="en-GB" sz="1100">
            <a:effectLst/>
            <a:latin typeface="Calibri"/>
            <a:ea typeface="Calibri"/>
            <a:cs typeface="Arial"/>
          </a:endParaRPr>
        </a:p>
      </xdr:txBody>
    </xdr:sp>
    <xdr:clientData/>
  </xdr:twoCellAnchor>
  <xdr:twoCellAnchor>
    <xdr:from>
      <xdr:col>9</xdr:col>
      <xdr:colOff>419100</xdr:colOff>
      <xdr:row>23</xdr:row>
      <xdr:rowOff>137160</xdr:rowOff>
    </xdr:from>
    <xdr:to>
      <xdr:col>10</xdr:col>
      <xdr:colOff>572770</xdr:colOff>
      <xdr:row>24</xdr:row>
      <xdr:rowOff>175895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7917180" y="5204460"/>
          <a:ext cx="900430" cy="221615"/>
        </a:xfrm>
        <a:prstGeom prst="rect">
          <a:avLst/>
        </a:prstGeom>
        <a:solidFill>
          <a:srgbClr val="006DB6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FFFFFF"/>
              </a:solidFill>
              <a:effectLst/>
              <a:latin typeface="Avenir Next"/>
              <a:ea typeface="Calibri"/>
              <a:cs typeface="Arial"/>
            </a:rPr>
            <a:t>TOTALs</a:t>
          </a:r>
          <a:endParaRPr lang="en-GB" sz="1100">
            <a:effectLst/>
            <a:latin typeface="Calibri"/>
            <a:ea typeface="Calibri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248179</xdr:colOff>
      <xdr:row>21</xdr:row>
      <xdr:rowOff>138793</xdr:rowOff>
    </xdr:from>
    <xdr:to>
      <xdr:col>7</xdr:col>
      <xdr:colOff>236220</xdr:colOff>
      <xdr:row>56</xdr:row>
      <xdr:rowOff>154040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647701</xdr:colOff>
      <xdr:row>27</xdr:row>
      <xdr:rowOff>35803</xdr:rowOff>
    </xdr:from>
    <xdr:to>
      <xdr:col>8</xdr:col>
      <xdr:colOff>647701</xdr:colOff>
      <xdr:row>55</xdr:row>
      <xdr:rowOff>140241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782195</xdr:colOff>
      <xdr:row>24</xdr:row>
      <xdr:rowOff>110718</xdr:rowOff>
    </xdr:from>
    <xdr:to>
      <xdr:col>6</xdr:col>
      <xdr:colOff>782195</xdr:colOff>
      <xdr:row>56</xdr:row>
      <xdr:rowOff>14347</xdr:rowOff>
    </xdr:to>
    <xdr:cxnSp macro="">
      <xdr:nvCxnSpPr>
        <xdr:cNvPr id="4" name="Straight Connector 3"/>
        <xdr:cNvCxnSpPr/>
      </xdr:nvCxnSpPr>
      <xdr:spPr>
        <a:xfrm>
          <a:off x="5979035" y="5360898"/>
          <a:ext cx="0" cy="5831989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506</xdr:colOff>
      <xdr:row>25</xdr:row>
      <xdr:rowOff>149790</xdr:rowOff>
    </xdr:from>
    <xdr:to>
      <xdr:col>8</xdr:col>
      <xdr:colOff>45720</xdr:colOff>
      <xdr:row>27</xdr:row>
      <xdr:rowOff>25261</xdr:rowOff>
    </xdr:to>
    <xdr:sp macro="" textlink="">
      <xdr:nvSpPr>
        <xdr:cNvPr id="5" name="TextBox 4"/>
        <xdr:cNvSpPr txBox="1"/>
      </xdr:nvSpPr>
      <xdr:spPr>
        <a:xfrm>
          <a:off x="5966966" y="5659050"/>
          <a:ext cx="830074" cy="241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050">
              <a:solidFill>
                <a:schemeClr val="bg1"/>
              </a:solidFill>
              <a:latin typeface="Avenir Next Condensed" panose="020B0506020202020204" pitchFamily="34" charset="0"/>
            </a:rPr>
            <a:t>% Female</a:t>
          </a:r>
        </a:p>
      </xdr:txBody>
    </xdr:sp>
    <xdr:clientData/>
  </xdr:twoCellAnchor>
  <xdr:twoCellAnchor>
    <xdr:from>
      <xdr:col>8</xdr:col>
      <xdr:colOff>44693</xdr:colOff>
      <xdr:row>24</xdr:row>
      <xdr:rowOff>141198</xdr:rowOff>
    </xdr:from>
    <xdr:to>
      <xdr:col>8</xdr:col>
      <xdr:colOff>45720</xdr:colOff>
      <xdr:row>56</xdr:row>
      <xdr:rowOff>7620</xdr:rowOff>
    </xdr:to>
    <xdr:cxnSp macro="">
      <xdr:nvCxnSpPr>
        <xdr:cNvPr id="6" name="Straight Connector 5"/>
        <xdr:cNvCxnSpPr/>
      </xdr:nvCxnSpPr>
      <xdr:spPr>
        <a:xfrm>
          <a:off x="6796013" y="5467578"/>
          <a:ext cx="1027" cy="5794782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708660</xdr:colOff>
      <xdr:row>27</xdr:row>
      <xdr:rowOff>32922</xdr:rowOff>
    </xdr:from>
    <xdr:to>
      <xdr:col>9</xdr:col>
      <xdr:colOff>487681</xdr:colOff>
      <xdr:row>55</xdr:row>
      <xdr:rowOff>159771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30480</xdr:colOff>
      <xdr:row>24</xdr:row>
      <xdr:rowOff>176154</xdr:rowOff>
    </xdr:from>
    <xdr:to>
      <xdr:col>9</xdr:col>
      <xdr:colOff>327660</xdr:colOff>
      <xdr:row>27</xdr:row>
      <xdr:rowOff>137160</xdr:rowOff>
    </xdr:to>
    <xdr:sp macro="" textlink="">
      <xdr:nvSpPr>
        <xdr:cNvPr id="8" name="TextBox 7"/>
        <xdr:cNvSpPr txBox="1"/>
      </xdr:nvSpPr>
      <xdr:spPr>
        <a:xfrm>
          <a:off x="6781800" y="5502534"/>
          <a:ext cx="1043940" cy="5096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/>
          <a:r>
            <a:rPr lang="en-GB" sz="1050">
              <a:solidFill>
                <a:schemeClr val="bg1"/>
              </a:solidFill>
              <a:latin typeface="Avenir Next Condensed" panose="020B0506020202020204" pitchFamily="34" charset="0"/>
              <a:ea typeface="+mn-ea"/>
              <a:cs typeface="+mn-cs"/>
            </a:rPr>
            <a:t>% children, adult, </a:t>
          </a:r>
        </a:p>
        <a:p>
          <a:pPr marL="0" indent="0"/>
          <a:r>
            <a:rPr lang="en-GB" sz="1050">
              <a:solidFill>
                <a:schemeClr val="bg1"/>
              </a:solidFill>
              <a:latin typeface="Avenir Next Condensed" panose="020B0506020202020204" pitchFamily="34" charset="0"/>
              <a:ea typeface="+mn-ea"/>
              <a:cs typeface="+mn-cs"/>
            </a:rPr>
            <a:t>elderly *</a:t>
          </a:r>
        </a:p>
      </xdr:txBody>
    </xdr:sp>
    <xdr:clientData/>
  </xdr:twoCellAnchor>
  <xdr:twoCellAnchor editAs="absolute">
    <xdr:from>
      <xdr:col>9</xdr:col>
      <xdr:colOff>383933</xdr:colOff>
      <xdr:row>27</xdr:row>
      <xdr:rowOff>28183</xdr:rowOff>
    </xdr:from>
    <xdr:to>
      <xdr:col>12</xdr:col>
      <xdr:colOff>137160</xdr:colOff>
      <xdr:row>55</xdr:row>
      <xdr:rowOff>127541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494100</xdr:colOff>
      <xdr:row>24</xdr:row>
      <xdr:rowOff>168534</xdr:rowOff>
    </xdr:from>
    <xdr:to>
      <xdr:col>10</xdr:col>
      <xdr:colOff>373380</xdr:colOff>
      <xdr:row>27</xdr:row>
      <xdr:rowOff>99060</xdr:rowOff>
    </xdr:to>
    <xdr:sp macro="" textlink="">
      <xdr:nvSpPr>
        <xdr:cNvPr id="10" name="TextBox 9"/>
        <xdr:cNvSpPr txBox="1"/>
      </xdr:nvSpPr>
      <xdr:spPr>
        <a:xfrm>
          <a:off x="7992180" y="5494914"/>
          <a:ext cx="626040" cy="4791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050">
              <a:solidFill>
                <a:schemeClr val="bg1"/>
              </a:solidFill>
              <a:latin typeface="Avenir Next Condensed" panose="020B0506020202020204" pitchFamily="34" charset="0"/>
            </a:rPr>
            <a:t>People in need</a:t>
          </a:r>
        </a:p>
      </xdr:txBody>
    </xdr:sp>
    <xdr:clientData/>
  </xdr:twoCellAnchor>
  <xdr:twoCellAnchor>
    <xdr:from>
      <xdr:col>10</xdr:col>
      <xdr:colOff>324384</xdr:colOff>
      <xdr:row>24</xdr:row>
      <xdr:rowOff>160020</xdr:rowOff>
    </xdr:from>
    <xdr:to>
      <xdr:col>11</xdr:col>
      <xdr:colOff>248151</xdr:colOff>
      <xdr:row>27</xdr:row>
      <xdr:rowOff>116701</xdr:rowOff>
    </xdr:to>
    <xdr:sp macro="" textlink="">
      <xdr:nvSpPr>
        <xdr:cNvPr id="11" name="TextBox 10"/>
        <xdr:cNvSpPr txBox="1"/>
      </xdr:nvSpPr>
      <xdr:spPr>
        <a:xfrm>
          <a:off x="8569224" y="5486400"/>
          <a:ext cx="670527" cy="5053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050">
              <a:solidFill>
                <a:srgbClr val="6DCFF6"/>
              </a:solidFill>
              <a:latin typeface="Avenir Next Condensed" panose="020B0506020202020204" pitchFamily="34" charset="0"/>
            </a:rPr>
            <a:t>Affected people</a:t>
          </a:r>
        </a:p>
      </xdr:txBody>
    </xdr:sp>
    <xdr:clientData/>
  </xdr:twoCellAnchor>
  <xdr:twoCellAnchor>
    <xdr:from>
      <xdr:col>9</xdr:col>
      <xdr:colOff>457200</xdr:colOff>
      <xdr:row>24</xdr:row>
      <xdr:rowOff>125958</xdr:rowOff>
    </xdr:from>
    <xdr:to>
      <xdr:col>9</xdr:col>
      <xdr:colOff>466008</xdr:colOff>
      <xdr:row>56</xdr:row>
      <xdr:rowOff>7620</xdr:rowOff>
    </xdr:to>
    <xdr:cxnSp macro="">
      <xdr:nvCxnSpPr>
        <xdr:cNvPr id="12" name="Straight Connector 11"/>
        <xdr:cNvCxnSpPr/>
      </xdr:nvCxnSpPr>
      <xdr:spPr>
        <a:xfrm flipH="1">
          <a:off x="7955280" y="5452338"/>
          <a:ext cx="8808" cy="5825262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24</xdr:row>
      <xdr:rowOff>125958</xdr:rowOff>
    </xdr:from>
    <xdr:to>
      <xdr:col>9</xdr:col>
      <xdr:colOff>420567</xdr:colOff>
      <xdr:row>56</xdr:row>
      <xdr:rowOff>7620</xdr:rowOff>
    </xdr:to>
    <xdr:cxnSp macro="">
      <xdr:nvCxnSpPr>
        <xdr:cNvPr id="13" name="Straight Connector 12"/>
        <xdr:cNvCxnSpPr/>
      </xdr:nvCxnSpPr>
      <xdr:spPr>
        <a:xfrm flipH="1">
          <a:off x="7917180" y="5452338"/>
          <a:ext cx="1467" cy="5825262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60962</xdr:colOff>
      <xdr:row>27</xdr:row>
      <xdr:rowOff>137162</xdr:rowOff>
    </xdr:from>
    <xdr:to>
      <xdr:col>11</xdr:col>
      <xdr:colOff>403860</xdr:colOff>
      <xdr:row>27</xdr:row>
      <xdr:rowOff>152400</xdr:rowOff>
    </xdr:to>
    <xdr:cxnSp macro="">
      <xdr:nvCxnSpPr>
        <xdr:cNvPr id="14" name="Straight Connector 13"/>
        <xdr:cNvCxnSpPr/>
      </xdr:nvCxnSpPr>
      <xdr:spPr>
        <a:xfrm flipH="1" flipV="1">
          <a:off x="60962" y="5935982"/>
          <a:ext cx="9334498" cy="15238"/>
        </a:xfrm>
        <a:prstGeom prst="line">
          <a:avLst/>
        </a:prstGeom>
        <a:ln w="9525" cap="rnd" cmpd="sng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208280</xdr:colOff>
      <xdr:row>28</xdr:row>
      <xdr:rowOff>94292</xdr:rowOff>
    </xdr:from>
    <xdr:to>
      <xdr:col>0</xdr:col>
      <xdr:colOff>838200</xdr:colOff>
      <xdr:row>30</xdr:row>
      <xdr:rowOff>69886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80" y="6152192"/>
          <a:ext cx="629920" cy="34135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24</xdr:row>
      <xdr:rowOff>15240</xdr:rowOff>
    </xdr:from>
    <xdr:to>
      <xdr:col>2</xdr:col>
      <xdr:colOff>138430</xdr:colOff>
      <xdr:row>25</xdr:row>
      <xdr:rowOff>53975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653540" y="5341620"/>
          <a:ext cx="900430" cy="2216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005CB8"/>
              </a:solidFill>
              <a:effectLst/>
              <a:latin typeface="Avenir Next"/>
              <a:ea typeface="Calibri"/>
              <a:cs typeface="Arial"/>
            </a:rPr>
            <a:t>BY STATUS</a:t>
          </a:r>
          <a:endParaRPr lang="en-GB" sz="1100">
            <a:solidFill>
              <a:srgbClr val="005CB8"/>
            </a:solidFill>
            <a:effectLst/>
            <a:latin typeface="Calibri"/>
            <a:ea typeface="Calibri"/>
            <a:cs typeface="Arial"/>
          </a:endParaRPr>
        </a:p>
      </xdr:txBody>
    </xdr:sp>
    <xdr:clientData/>
  </xdr:twoCellAnchor>
  <xdr:twoCellAnchor>
    <xdr:from>
      <xdr:col>6</xdr:col>
      <xdr:colOff>784860</xdr:colOff>
      <xdr:row>23</xdr:row>
      <xdr:rowOff>129540</xdr:rowOff>
    </xdr:from>
    <xdr:to>
      <xdr:col>8</xdr:col>
      <xdr:colOff>130810</xdr:colOff>
      <xdr:row>24</xdr:row>
      <xdr:rowOff>168275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5981700" y="5196840"/>
          <a:ext cx="900430" cy="2216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indent="0">
            <a:spcAft>
              <a:spcPts val="0"/>
            </a:spcAft>
          </a:pPr>
          <a:r>
            <a:rPr lang="en-US" sz="700" b="1">
              <a:solidFill>
                <a:srgbClr val="005CB8"/>
              </a:solidFill>
              <a:effectLst/>
              <a:latin typeface="Avenir Next"/>
              <a:ea typeface="Calibri"/>
              <a:cs typeface="Arial"/>
            </a:rPr>
            <a:t>BY  SEX &amp; AGE</a:t>
          </a:r>
          <a:endParaRPr lang="en-GB" sz="700" b="1">
            <a:solidFill>
              <a:srgbClr val="005CB8"/>
            </a:solidFill>
            <a:effectLst/>
            <a:latin typeface="Avenir Next"/>
            <a:ea typeface="Calibri"/>
            <a:cs typeface="Arial"/>
          </a:endParaRPr>
        </a:p>
      </xdr:txBody>
    </xdr:sp>
    <xdr:clientData/>
  </xdr:twoCellAnchor>
  <xdr:twoCellAnchor>
    <xdr:from>
      <xdr:col>9</xdr:col>
      <xdr:colOff>327660</xdr:colOff>
      <xdr:row>23</xdr:row>
      <xdr:rowOff>152400</xdr:rowOff>
    </xdr:from>
    <xdr:to>
      <xdr:col>10</xdr:col>
      <xdr:colOff>481330</xdr:colOff>
      <xdr:row>25</xdr:row>
      <xdr:rowOff>8255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7825740" y="5219700"/>
          <a:ext cx="900430" cy="2216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005CB8"/>
              </a:solidFill>
              <a:effectLst/>
              <a:latin typeface="Avenir Next"/>
              <a:ea typeface="Calibri"/>
              <a:cs typeface="Arial"/>
            </a:rPr>
            <a:t>TOTAL</a:t>
          </a:r>
          <a:endParaRPr lang="en-GB" sz="700" b="1">
            <a:solidFill>
              <a:srgbClr val="005CB8"/>
            </a:solidFill>
            <a:effectLst/>
            <a:latin typeface="Avenir Next"/>
            <a:ea typeface="Calibri"/>
            <a:cs typeface="Arial"/>
          </a:endParaRPr>
        </a:p>
      </xdr:txBody>
    </xdr:sp>
    <xdr:clientData/>
  </xdr:twoCellAnchor>
  <xdr:twoCellAnchor editAs="oneCell">
    <xdr:from>
      <xdr:col>0</xdr:col>
      <xdr:colOff>208280</xdr:colOff>
      <xdr:row>31</xdr:row>
      <xdr:rowOff>2852</xdr:rowOff>
    </xdr:from>
    <xdr:to>
      <xdr:col>0</xdr:col>
      <xdr:colOff>838200</xdr:colOff>
      <xdr:row>32</xdr:row>
      <xdr:rowOff>161325</xdr:rowOff>
    </xdr:to>
    <xdr:pic>
      <xdr:nvPicPr>
        <xdr:cNvPr id="27" name="Picture 26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80" y="6685592"/>
          <a:ext cx="629920" cy="341353"/>
        </a:xfrm>
        <a:prstGeom prst="rect">
          <a:avLst/>
        </a:prstGeom>
      </xdr:spPr>
    </xdr:pic>
    <xdr:clientData/>
  </xdr:twoCellAnchor>
  <xdr:twoCellAnchor editAs="oneCell">
    <xdr:from>
      <xdr:col>0</xdr:col>
      <xdr:colOff>185420</xdr:colOff>
      <xdr:row>34</xdr:row>
      <xdr:rowOff>2852</xdr:rowOff>
    </xdr:from>
    <xdr:to>
      <xdr:col>0</xdr:col>
      <xdr:colOff>815340</xdr:colOff>
      <xdr:row>35</xdr:row>
      <xdr:rowOff>161325</xdr:rowOff>
    </xdr:to>
    <xdr:pic>
      <xdr:nvPicPr>
        <xdr:cNvPr id="28" name="Picture 2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7234232"/>
          <a:ext cx="629920" cy="341353"/>
        </a:xfrm>
        <a:prstGeom prst="rect">
          <a:avLst/>
        </a:prstGeom>
      </xdr:spPr>
    </xdr:pic>
    <xdr:clientData/>
  </xdr:twoCellAnchor>
  <xdr:twoCellAnchor editAs="oneCell">
    <xdr:from>
      <xdr:col>0</xdr:col>
      <xdr:colOff>162560</xdr:colOff>
      <xdr:row>37</xdr:row>
      <xdr:rowOff>124772</xdr:rowOff>
    </xdr:from>
    <xdr:to>
      <xdr:col>0</xdr:col>
      <xdr:colOff>792480</xdr:colOff>
      <xdr:row>39</xdr:row>
      <xdr:rowOff>100366</xdr:rowOff>
    </xdr:to>
    <xdr:pic>
      <xdr:nvPicPr>
        <xdr:cNvPr id="32" name="Picture 31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" y="7904792"/>
          <a:ext cx="629920" cy="341353"/>
        </a:xfrm>
        <a:prstGeom prst="rect">
          <a:avLst/>
        </a:prstGeom>
      </xdr:spPr>
    </xdr:pic>
    <xdr:clientData/>
  </xdr:twoCellAnchor>
  <xdr:twoCellAnchor editAs="oneCell">
    <xdr:from>
      <xdr:col>0</xdr:col>
      <xdr:colOff>162560</xdr:colOff>
      <xdr:row>40</xdr:row>
      <xdr:rowOff>109532</xdr:rowOff>
    </xdr:from>
    <xdr:to>
      <xdr:col>0</xdr:col>
      <xdr:colOff>792480</xdr:colOff>
      <xdr:row>42</xdr:row>
      <xdr:rowOff>85126</xdr:rowOff>
    </xdr:to>
    <xdr:pic>
      <xdr:nvPicPr>
        <xdr:cNvPr id="33" name="Picture 32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" y="8438192"/>
          <a:ext cx="629920" cy="341353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43</xdr:row>
      <xdr:rowOff>109532</xdr:rowOff>
    </xdr:from>
    <xdr:to>
      <xdr:col>0</xdr:col>
      <xdr:colOff>769620</xdr:colOff>
      <xdr:row>45</xdr:row>
      <xdr:rowOff>85126</xdr:rowOff>
    </xdr:to>
    <xdr:pic>
      <xdr:nvPicPr>
        <xdr:cNvPr id="34" name="Picture 33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8986832"/>
          <a:ext cx="629920" cy="341353"/>
        </a:xfrm>
        <a:prstGeom prst="rect">
          <a:avLst/>
        </a:prstGeom>
      </xdr:spPr>
    </xdr:pic>
    <xdr:clientData/>
  </xdr:twoCellAnchor>
  <xdr:twoCellAnchor editAs="oneCell">
    <xdr:from>
      <xdr:col>0</xdr:col>
      <xdr:colOff>124460</xdr:colOff>
      <xdr:row>46</xdr:row>
      <xdr:rowOff>109532</xdr:rowOff>
    </xdr:from>
    <xdr:to>
      <xdr:col>0</xdr:col>
      <xdr:colOff>754380</xdr:colOff>
      <xdr:row>48</xdr:row>
      <xdr:rowOff>85126</xdr:rowOff>
    </xdr:to>
    <xdr:pic>
      <xdr:nvPicPr>
        <xdr:cNvPr id="35" name="Picture 34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" y="9535472"/>
          <a:ext cx="629920" cy="341353"/>
        </a:xfrm>
        <a:prstGeom prst="rect">
          <a:avLst/>
        </a:prstGeom>
      </xdr:spPr>
    </xdr:pic>
    <xdr:clientData/>
  </xdr:twoCellAnchor>
  <xdr:twoCellAnchor editAs="oneCell">
    <xdr:from>
      <xdr:col>0</xdr:col>
      <xdr:colOff>124460</xdr:colOff>
      <xdr:row>49</xdr:row>
      <xdr:rowOff>94292</xdr:rowOff>
    </xdr:from>
    <xdr:to>
      <xdr:col>0</xdr:col>
      <xdr:colOff>754380</xdr:colOff>
      <xdr:row>51</xdr:row>
      <xdr:rowOff>69886</xdr:rowOff>
    </xdr:to>
    <xdr:pic>
      <xdr:nvPicPr>
        <xdr:cNvPr id="36" name="Picture 3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" y="10068872"/>
          <a:ext cx="629920" cy="341353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52</xdr:row>
      <xdr:rowOff>94292</xdr:rowOff>
    </xdr:from>
    <xdr:to>
      <xdr:col>0</xdr:col>
      <xdr:colOff>731520</xdr:colOff>
      <xdr:row>54</xdr:row>
      <xdr:rowOff>69886</xdr:rowOff>
    </xdr:to>
    <xdr:pic>
      <xdr:nvPicPr>
        <xdr:cNvPr id="37" name="Picture 36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617512"/>
          <a:ext cx="629920" cy="341353"/>
        </a:xfrm>
        <a:prstGeom prst="rect">
          <a:avLst/>
        </a:prstGeom>
      </xdr:spPr>
    </xdr:pic>
    <xdr:clientData/>
  </xdr:twoCellAnchor>
  <xdr:twoCellAnchor>
    <xdr:from>
      <xdr:col>0</xdr:col>
      <xdr:colOff>60962</xdr:colOff>
      <xdr:row>36</xdr:row>
      <xdr:rowOff>175262</xdr:rowOff>
    </xdr:from>
    <xdr:to>
      <xdr:col>11</xdr:col>
      <xdr:colOff>403860</xdr:colOff>
      <xdr:row>37</xdr:row>
      <xdr:rowOff>7620</xdr:rowOff>
    </xdr:to>
    <xdr:cxnSp macro="">
      <xdr:nvCxnSpPr>
        <xdr:cNvPr id="38" name="Straight Connector 37"/>
        <xdr:cNvCxnSpPr/>
      </xdr:nvCxnSpPr>
      <xdr:spPr>
        <a:xfrm flipH="1" flipV="1">
          <a:off x="60962" y="7772402"/>
          <a:ext cx="9334498" cy="15238"/>
        </a:xfrm>
        <a:prstGeom prst="line">
          <a:avLst/>
        </a:prstGeom>
        <a:ln w="9525" cap="rnd" cmpd="sng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83822</xdr:colOff>
      <xdr:row>45</xdr:row>
      <xdr:rowOff>167642</xdr:rowOff>
    </xdr:from>
    <xdr:to>
      <xdr:col>12</xdr:col>
      <xdr:colOff>0</xdr:colOff>
      <xdr:row>46</xdr:row>
      <xdr:rowOff>0</xdr:rowOff>
    </xdr:to>
    <xdr:cxnSp macro="">
      <xdr:nvCxnSpPr>
        <xdr:cNvPr id="39" name="Straight Connector 38"/>
        <xdr:cNvCxnSpPr/>
      </xdr:nvCxnSpPr>
      <xdr:spPr>
        <a:xfrm flipH="1" flipV="1">
          <a:off x="83822" y="9410702"/>
          <a:ext cx="9334498" cy="15238"/>
        </a:xfrm>
        <a:prstGeom prst="line">
          <a:avLst/>
        </a:prstGeom>
        <a:ln w="9525" cap="rnd" cmpd="sng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</xdr:colOff>
      <xdr:row>54</xdr:row>
      <xdr:rowOff>175260</xdr:rowOff>
    </xdr:from>
    <xdr:to>
      <xdr:col>11</xdr:col>
      <xdr:colOff>388618</xdr:colOff>
      <xdr:row>55</xdr:row>
      <xdr:rowOff>7618</xdr:rowOff>
    </xdr:to>
    <xdr:cxnSp macro="">
      <xdr:nvCxnSpPr>
        <xdr:cNvPr id="40" name="Straight Connector 39"/>
        <xdr:cNvCxnSpPr/>
      </xdr:nvCxnSpPr>
      <xdr:spPr>
        <a:xfrm flipH="1" flipV="1">
          <a:off x="45720" y="11064240"/>
          <a:ext cx="9334498" cy="15238"/>
        </a:xfrm>
        <a:prstGeom prst="line">
          <a:avLst/>
        </a:prstGeom>
        <a:ln w="9525" cap="rnd" cmpd="sng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131955</xdr:colOff>
      <xdr:row>24</xdr:row>
      <xdr:rowOff>34518</xdr:rowOff>
    </xdr:from>
    <xdr:to>
      <xdr:col>1</xdr:col>
      <xdr:colOff>131955</xdr:colOff>
      <xdr:row>55</xdr:row>
      <xdr:rowOff>115947</xdr:rowOff>
    </xdr:to>
    <xdr:cxnSp macro="">
      <xdr:nvCxnSpPr>
        <xdr:cNvPr id="4" name="Straight Connector 3"/>
        <xdr:cNvCxnSpPr/>
      </xdr:nvCxnSpPr>
      <xdr:spPr>
        <a:xfrm>
          <a:off x="1592455" y="5228818"/>
          <a:ext cx="0" cy="55932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369813</xdr:colOff>
      <xdr:row>23</xdr:row>
      <xdr:rowOff>148818</xdr:rowOff>
    </xdr:from>
    <xdr:to>
      <xdr:col>3</xdr:col>
      <xdr:colOff>369813</xdr:colOff>
      <xdr:row>55</xdr:row>
      <xdr:rowOff>52447</xdr:rowOff>
    </xdr:to>
    <xdr:cxnSp macro="">
      <xdr:nvCxnSpPr>
        <xdr:cNvPr id="6" name="Straight Connector 5"/>
        <xdr:cNvCxnSpPr/>
      </xdr:nvCxnSpPr>
      <xdr:spPr>
        <a:xfrm>
          <a:off x="3735313" y="5165318"/>
          <a:ext cx="0" cy="55932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907736</xdr:colOff>
      <xdr:row>23</xdr:row>
      <xdr:rowOff>138054</xdr:rowOff>
    </xdr:from>
    <xdr:to>
      <xdr:col>4</xdr:col>
      <xdr:colOff>946296</xdr:colOff>
      <xdr:row>27</xdr:row>
      <xdr:rowOff>25400</xdr:rowOff>
    </xdr:to>
    <xdr:sp macro="" textlink="">
      <xdr:nvSpPr>
        <xdr:cNvPr id="8" name="TextBox 7"/>
        <xdr:cNvSpPr txBox="1"/>
      </xdr:nvSpPr>
      <xdr:spPr>
        <a:xfrm>
          <a:off x="4273236" y="5154554"/>
          <a:ext cx="991060" cy="598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000">
              <a:solidFill>
                <a:srgbClr val="026CB6"/>
              </a:solidFill>
            </a:rPr>
            <a:t>% children, adult, elderly</a:t>
          </a:r>
        </a:p>
      </xdr:txBody>
    </xdr:sp>
    <xdr:clientData/>
  </xdr:twoCellAnchor>
  <xdr:twoCellAnchor>
    <xdr:from>
      <xdr:col>0</xdr:col>
      <xdr:colOff>467701</xdr:colOff>
      <xdr:row>27</xdr:row>
      <xdr:rowOff>141665</xdr:rowOff>
    </xdr:from>
    <xdr:to>
      <xdr:col>10</xdr:col>
      <xdr:colOff>266700</xdr:colOff>
      <xdr:row>27</xdr:row>
      <xdr:rowOff>141665</xdr:rowOff>
    </xdr:to>
    <xdr:cxnSp macro="">
      <xdr:nvCxnSpPr>
        <xdr:cNvPr id="14" name="Straight Connector 13"/>
        <xdr:cNvCxnSpPr/>
      </xdr:nvCxnSpPr>
      <xdr:spPr>
        <a:xfrm flipH="1">
          <a:off x="467701" y="5940485"/>
          <a:ext cx="91106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241300</xdr:colOff>
      <xdr:row>28</xdr:row>
      <xdr:rowOff>12700</xdr:rowOff>
    </xdr:from>
    <xdr:to>
      <xdr:col>2</xdr:col>
      <xdr:colOff>129540</xdr:colOff>
      <xdr:row>32</xdr:row>
      <xdr:rowOff>38100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390070</xdr:colOff>
      <xdr:row>28</xdr:row>
      <xdr:rowOff>37196</xdr:rowOff>
    </xdr:from>
    <xdr:to>
      <xdr:col>5</xdr:col>
      <xdr:colOff>310334</xdr:colOff>
      <xdr:row>32</xdr:row>
      <xdr:rowOff>45996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698500</xdr:colOff>
      <xdr:row>24</xdr:row>
      <xdr:rowOff>63500</xdr:rowOff>
    </xdr:from>
    <xdr:to>
      <xdr:col>2</xdr:col>
      <xdr:colOff>508000</xdr:colOff>
      <xdr:row>27</xdr:row>
      <xdr:rowOff>63500</xdr:rowOff>
    </xdr:to>
    <xdr:sp macro="" textlink="">
      <xdr:nvSpPr>
        <xdr:cNvPr id="17" name="TextBox 16"/>
        <xdr:cNvSpPr txBox="1"/>
      </xdr:nvSpPr>
      <xdr:spPr>
        <a:xfrm>
          <a:off x="2159000" y="5257800"/>
          <a:ext cx="762000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000">
              <a:solidFill>
                <a:srgbClr val="026CB6"/>
              </a:solidFill>
            </a:rPr>
            <a:t>Male</a:t>
          </a:r>
          <a:r>
            <a:rPr lang="en-GB" sz="1000" baseline="0">
              <a:solidFill>
                <a:srgbClr val="026CB6"/>
              </a:solidFill>
            </a:rPr>
            <a:t> / Female %</a:t>
          </a:r>
          <a:endParaRPr lang="en-GB" sz="1000">
            <a:solidFill>
              <a:srgbClr val="026CB6"/>
            </a:solidFill>
          </a:endParaRPr>
        </a:p>
      </xdr:txBody>
    </xdr:sp>
    <xdr:clientData/>
  </xdr:twoCellAnchor>
  <xdr:twoCellAnchor>
    <xdr:from>
      <xdr:col>1</xdr:col>
      <xdr:colOff>317500</xdr:colOff>
      <xdr:row>34</xdr:row>
      <xdr:rowOff>127000</xdr:rowOff>
    </xdr:from>
    <xdr:to>
      <xdr:col>2</xdr:col>
      <xdr:colOff>297180</xdr:colOff>
      <xdr:row>39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426720</xdr:colOff>
      <xdr:row>34</xdr:row>
      <xdr:rowOff>7620</xdr:rowOff>
    </xdr:from>
    <xdr:to>
      <xdr:col>5</xdr:col>
      <xdr:colOff>346984</xdr:colOff>
      <xdr:row>38</xdr:row>
      <xdr:rowOff>16420</xdr:rowOff>
    </xdr:to>
    <xdr:graphicFrame macro="">
      <xdr:nvGraphicFramePr>
        <xdr:cNvPr id="10" name="Chart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100852</xdr:colOff>
      <xdr:row>76</xdr:row>
      <xdr:rowOff>0</xdr:rowOff>
    </xdr:from>
    <xdr:to>
      <xdr:col>19</xdr:col>
      <xdr:colOff>71469</xdr:colOff>
      <xdr:row>81</xdr:row>
      <xdr:rowOff>127500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24057</xdr:colOff>
      <xdr:row>77</xdr:row>
      <xdr:rowOff>133500</xdr:rowOff>
    </xdr:from>
    <xdr:to>
      <xdr:col>30</xdr:col>
      <xdr:colOff>36957</xdr:colOff>
      <xdr:row>79</xdr:row>
      <xdr:rowOff>184500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20105</xdr:colOff>
      <xdr:row>77</xdr:row>
      <xdr:rowOff>43500</xdr:rowOff>
    </xdr:from>
    <xdr:to>
      <xdr:col>43</xdr:col>
      <xdr:colOff>3455</xdr:colOff>
      <xdr:row>80</xdr:row>
      <xdr:rowOff>84000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91378</xdr:colOff>
      <xdr:row>77</xdr:row>
      <xdr:rowOff>43500</xdr:rowOff>
    </xdr:from>
    <xdr:to>
      <xdr:col>55</xdr:col>
      <xdr:colOff>74728</xdr:colOff>
      <xdr:row>80</xdr:row>
      <xdr:rowOff>84000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62</xdr:col>
      <xdr:colOff>57876</xdr:colOff>
      <xdr:row>77</xdr:row>
      <xdr:rowOff>79500</xdr:rowOff>
    </xdr:from>
    <xdr:to>
      <xdr:col>67</xdr:col>
      <xdr:colOff>74001</xdr:colOff>
      <xdr:row>80</xdr:row>
      <xdr:rowOff>48000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57150</xdr:colOff>
      <xdr:row>77</xdr:row>
      <xdr:rowOff>187500</xdr:rowOff>
    </xdr:from>
    <xdr:to>
      <xdr:col>78</xdr:col>
      <xdr:colOff>34050</xdr:colOff>
      <xdr:row>80</xdr:row>
      <xdr:rowOff>12000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1467971</xdr:colOff>
      <xdr:row>85</xdr:row>
      <xdr:rowOff>100853</xdr:rowOff>
    </xdr:from>
    <xdr:to>
      <xdr:col>14</xdr:col>
      <xdr:colOff>33618</xdr:colOff>
      <xdr:row>93</xdr:row>
      <xdr:rowOff>106208</xdr:rowOff>
    </xdr:to>
    <xdr:grpSp>
      <xdr:nvGrpSpPr>
        <xdr:cNvPr id="19" name="Group 18"/>
        <xdr:cNvGrpSpPr/>
      </xdr:nvGrpSpPr>
      <xdr:grpSpPr>
        <a:xfrm>
          <a:off x="1560173" y="13997066"/>
          <a:ext cx="6037819" cy="1462299"/>
          <a:chOff x="1467971" y="8807824"/>
          <a:chExt cx="3989294" cy="1529355"/>
        </a:xfrm>
      </xdr:grpSpPr>
      <xdr:pic>
        <xdr:nvPicPr>
          <xdr:cNvPr id="18" name="Picture 17"/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1467971" y="8807824"/>
            <a:ext cx="3066689" cy="1529355"/>
          </a:xfrm>
          <a:prstGeom prst="rect">
            <a:avLst/>
          </a:prstGeom>
        </xdr:spPr>
      </xdr:pic>
      <xdr:cxnSp macro="">
        <xdr:nvCxnSpPr>
          <xdr:cNvPr id="12" name="Elbow Connector 11"/>
          <xdr:cNvCxnSpPr/>
        </xdr:nvCxnSpPr>
        <xdr:spPr>
          <a:xfrm flipV="1">
            <a:off x="4202207" y="8819029"/>
            <a:ext cx="1255058" cy="762001"/>
          </a:xfrm>
          <a:prstGeom prst="bentConnector3">
            <a:avLst>
              <a:gd name="adj1" fmla="val 100893"/>
            </a:avLst>
          </a:prstGeom>
          <a:ln w="19050">
            <a:solidFill>
              <a:schemeClr val="tx1">
                <a:lumMod val="65000"/>
                <a:lumOff val="35000"/>
              </a:schemeClr>
            </a:solidFill>
            <a:prstDash val="sysDash"/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55</xdr:col>
      <xdr:colOff>47543</xdr:colOff>
      <xdr:row>57</xdr:row>
      <xdr:rowOff>5953</xdr:rowOff>
    </xdr:from>
    <xdr:to>
      <xdr:col>71</xdr:col>
      <xdr:colOff>40821</xdr:colOff>
      <xdr:row>66</xdr:row>
      <xdr:rowOff>87303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87310</xdr:colOff>
      <xdr:row>14</xdr:row>
      <xdr:rowOff>42863</xdr:rowOff>
    </xdr:from>
    <xdr:to>
      <xdr:col>40</xdr:col>
      <xdr:colOff>8074</xdr:colOff>
      <xdr:row>16</xdr:row>
      <xdr:rowOff>109538</xdr:rowOff>
    </xdr:to>
    <xdr:grpSp>
      <xdr:nvGrpSpPr>
        <xdr:cNvPr id="9" name="Group 8"/>
        <xdr:cNvGrpSpPr/>
      </xdr:nvGrpSpPr>
      <xdr:grpSpPr>
        <a:xfrm>
          <a:off x="8767633" y="2944940"/>
          <a:ext cx="1695462" cy="427482"/>
          <a:chOff x="8359773" y="3118247"/>
          <a:chExt cx="1632883" cy="447675"/>
        </a:xfrm>
      </xdr:grpSpPr>
      <xdr:grpSp>
        <xdr:nvGrpSpPr>
          <xdr:cNvPr id="5" name="Group 4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42" name="Picture 4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43" name="Picture 4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44" name="Group 43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45" name="Picture 4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46" name="Picture 4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47" name="Group 46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48" name="Picture 4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49" name="Picture 4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50" name="Group 49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51" name="Picture 5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52" name="Picture 5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53" name="Group 52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54" name="Picture 5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55" name="Picture 5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40</xdr:col>
      <xdr:colOff>43256</xdr:colOff>
      <xdr:row>14</xdr:row>
      <xdr:rowOff>42863</xdr:rowOff>
    </xdr:from>
    <xdr:to>
      <xdr:col>55</xdr:col>
      <xdr:colOff>66414</xdr:colOff>
      <xdr:row>16</xdr:row>
      <xdr:rowOff>109538</xdr:rowOff>
    </xdr:to>
    <xdr:grpSp>
      <xdr:nvGrpSpPr>
        <xdr:cNvPr id="56" name="Group 55"/>
        <xdr:cNvGrpSpPr/>
      </xdr:nvGrpSpPr>
      <xdr:grpSpPr>
        <a:xfrm>
          <a:off x="10500563" y="2944940"/>
          <a:ext cx="1693462" cy="427482"/>
          <a:chOff x="8359773" y="3118247"/>
          <a:chExt cx="1632883" cy="447675"/>
        </a:xfrm>
      </xdr:grpSpPr>
      <xdr:grpSp>
        <xdr:nvGrpSpPr>
          <xdr:cNvPr id="57" name="Group 56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70" name="Picture 6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1" name="Picture 7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58" name="Group 57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68" name="Picture 6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9" name="Picture 6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59" name="Group 58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66" name="Picture 6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7" name="Picture 6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60" name="Group 59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64" name="Picture 6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5" name="Picture 6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61" name="Group 60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62" name="Picture 6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3" name="Picture 6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55</xdr:col>
      <xdr:colOff>101597</xdr:colOff>
      <xdr:row>14</xdr:row>
      <xdr:rowOff>42863</xdr:rowOff>
    </xdr:from>
    <xdr:to>
      <xdr:col>71</xdr:col>
      <xdr:colOff>19980</xdr:colOff>
      <xdr:row>16</xdr:row>
      <xdr:rowOff>109538</xdr:rowOff>
    </xdr:to>
    <xdr:grpSp>
      <xdr:nvGrpSpPr>
        <xdr:cNvPr id="72" name="Group 71"/>
        <xdr:cNvGrpSpPr/>
      </xdr:nvGrpSpPr>
      <xdr:grpSpPr>
        <a:xfrm>
          <a:off x="12231494" y="2944940"/>
          <a:ext cx="1693462" cy="427482"/>
          <a:chOff x="8359773" y="3118247"/>
          <a:chExt cx="1632883" cy="447675"/>
        </a:xfrm>
      </xdr:grpSpPr>
      <xdr:grpSp>
        <xdr:nvGrpSpPr>
          <xdr:cNvPr id="73" name="Group 72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86" name="Picture 8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7" name="Picture 8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74" name="Group 73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84" name="Picture 8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5" name="Picture 8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75" name="Group 74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82" name="Picture 8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3" name="Picture 8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76" name="Group 75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80" name="Picture 7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1" name="Picture 8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77" name="Group 76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78" name="Picture 7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9" name="Picture 7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24</xdr:col>
      <xdr:colOff>87310</xdr:colOff>
      <xdr:row>16</xdr:row>
      <xdr:rowOff>71438</xdr:rowOff>
    </xdr:from>
    <xdr:to>
      <xdr:col>40</xdr:col>
      <xdr:colOff>8074</xdr:colOff>
      <xdr:row>18</xdr:row>
      <xdr:rowOff>138113</xdr:rowOff>
    </xdr:to>
    <xdr:grpSp>
      <xdr:nvGrpSpPr>
        <xdr:cNvPr id="88" name="Group 87"/>
        <xdr:cNvGrpSpPr/>
      </xdr:nvGrpSpPr>
      <xdr:grpSpPr>
        <a:xfrm>
          <a:off x="8767633" y="3336608"/>
          <a:ext cx="1695462" cy="427482"/>
          <a:chOff x="8359773" y="3118247"/>
          <a:chExt cx="1632883" cy="447675"/>
        </a:xfrm>
      </xdr:grpSpPr>
      <xdr:grpSp>
        <xdr:nvGrpSpPr>
          <xdr:cNvPr id="89" name="Group 88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102" name="Picture 10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3" name="Picture 10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90" name="Group 89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100" name="Picture 9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1" name="Picture 10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91" name="Group 90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98" name="Picture 9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99" name="Picture 9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92" name="Group 91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96" name="Picture 9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97" name="Picture 9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93" name="Group 92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94" name="Picture 9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95" name="Picture 9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40</xdr:col>
      <xdr:colOff>43256</xdr:colOff>
      <xdr:row>16</xdr:row>
      <xdr:rowOff>71438</xdr:rowOff>
    </xdr:from>
    <xdr:to>
      <xdr:col>48</xdr:col>
      <xdr:colOff>3380</xdr:colOff>
      <xdr:row>18</xdr:row>
      <xdr:rowOff>138113</xdr:rowOff>
    </xdr:to>
    <xdr:grpSp>
      <xdr:nvGrpSpPr>
        <xdr:cNvPr id="104" name="Group 103"/>
        <xdr:cNvGrpSpPr/>
      </xdr:nvGrpSpPr>
      <xdr:grpSpPr>
        <a:xfrm>
          <a:off x="10500563" y="3336608"/>
          <a:ext cx="847473" cy="427482"/>
          <a:chOff x="8359773" y="3118247"/>
          <a:chExt cx="817397" cy="447675"/>
        </a:xfrm>
      </xdr:grpSpPr>
      <xdr:grpSp>
        <xdr:nvGrpSpPr>
          <xdr:cNvPr id="105" name="Group 104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118" name="Picture 11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9" name="Picture 11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06" name="Group 105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116" name="Picture 11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7" name="Picture 11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15" name="Picture 114"/>
          <xdr:cNvPicPr>
            <a:picLocks noChangeAspect="1"/>
          </xdr:cNvPicPr>
        </xdr:nvPicPr>
        <xdr:blipFill rotWithShape="1"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871" r="31590"/>
          <a:stretch/>
        </xdr:blipFill>
        <xdr:spPr>
          <a:xfrm>
            <a:off x="8997949" y="3118247"/>
            <a:ext cx="179221" cy="44767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24</xdr:col>
      <xdr:colOff>87310</xdr:colOff>
      <xdr:row>20</xdr:row>
      <xdr:rowOff>128460</xdr:rowOff>
    </xdr:from>
    <xdr:to>
      <xdr:col>40</xdr:col>
      <xdr:colOff>5505</xdr:colOff>
      <xdr:row>23</xdr:row>
      <xdr:rowOff>4635</xdr:rowOff>
    </xdr:to>
    <xdr:grpSp>
      <xdr:nvGrpSpPr>
        <xdr:cNvPr id="147" name="Group 146"/>
        <xdr:cNvGrpSpPr/>
      </xdr:nvGrpSpPr>
      <xdr:grpSpPr>
        <a:xfrm>
          <a:off x="8767633" y="4255833"/>
          <a:ext cx="1692893" cy="428244"/>
          <a:chOff x="8359773" y="3118247"/>
          <a:chExt cx="1632883" cy="447675"/>
        </a:xfrm>
      </xdr:grpSpPr>
      <xdr:grpSp>
        <xdr:nvGrpSpPr>
          <xdr:cNvPr id="148" name="Group 147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161" name="Picture 16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62" name="Picture 16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49" name="Group 148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159" name="Picture 15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60" name="Picture 15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50" name="Group 149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157" name="Picture 15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58" name="Picture 15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51" name="Group 150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155" name="Picture 15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56" name="Picture 15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52" name="Group 151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153" name="Picture 15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54" name="Picture 15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40</xdr:col>
      <xdr:colOff>47054</xdr:colOff>
      <xdr:row>20</xdr:row>
      <xdr:rowOff>124239</xdr:rowOff>
    </xdr:from>
    <xdr:to>
      <xdr:col>55</xdr:col>
      <xdr:colOff>70212</xdr:colOff>
      <xdr:row>23</xdr:row>
      <xdr:rowOff>414</xdr:rowOff>
    </xdr:to>
    <xdr:grpSp>
      <xdr:nvGrpSpPr>
        <xdr:cNvPr id="166" name="Group 165"/>
        <xdr:cNvGrpSpPr/>
      </xdr:nvGrpSpPr>
      <xdr:grpSpPr>
        <a:xfrm>
          <a:off x="10504361" y="4251612"/>
          <a:ext cx="1693462" cy="428244"/>
          <a:chOff x="8359773" y="3118247"/>
          <a:chExt cx="1632883" cy="447675"/>
        </a:xfrm>
      </xdr:grpSpPr>
      <xdr:grpSp>
        <xdr:nvGrpSpPr>
          <xdr:cNvPr id="167" name="Group 166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180" name="Picture 17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81" name="Picture 18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68" name="Group 167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178" name="Picture 17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9" name="Picture 17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69" name="Group 168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176" name="Picture 17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7" name="Picture 17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70" name="Group 169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174" name="Picture 17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5" name="Picture 17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71" name="Group 170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172" name="Picture 17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3" name="Picture 17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55</xdr:col>
      <xdr:colOff>105395</xdr:colOff>
      <xdr:row>20</xdr:row>
      <xdr:rowOff>124239</xdr:rowOff>
    </xdr:from>
    <xdr:to>
      <xdr:col>71</xdr:col>
      <xdr:colOff>23778</xdr:colOff>
      <xdr:row>23</xdr:row>
      <xdr:rowOff>414</xdr:rowOff>
    </xdr:to>
    <xdr:grpSp>
      <xdr:nvGrpSpPr>
        <xdr:cNvPr id="182" name="Group 181"/>
        <xdr:cNvGrpSpPr/>
      </xdr:nvGrpSpPr>
      <xdr:grpSpPr>
        <a:xfrm>
          <a:off x="12235292" y="4251612"/>
          <a:ext cx="1693462" cy="428244"/>
          <a:chOff x="8359773" y="3118247"/>
          <a:chExt cx="1632883" cy="447675"/>
        </a:xfrm>
      </xdr:grpSpPr>
      <xdr:grpSp>
        <xdr:nvGrpSpPr>
          <xdr:cNvPr id="183" name="Group 182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196" name="Picture 19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97" name="Picture 19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84" name="Group 183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194" name="Picture 19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95" name="Picture 19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85" name="Group 184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192" name="Picture 19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93" name="Picture 19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86" name="Group 185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190" name="Picture 18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91" name="Picture 19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187" name="Group 186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188" name="Picture 18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89" name="Picture 18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24</xdr:col>
      <xdr:colOff>91108</xdr:colOff>
      <xdr:row>22</xdr:row>
      <xdr:rowOff>152814</xdr:rowOff>
    </xdr:from>
    <xdr:to>
      <xdr:col>40</xdr:col>
      <xdr:colOff>11872</xdr:colOff>
      <xdr:row>24</xdr:row>
      <xdr:rowOff>219489</xdr:rowOff>
    </xdr:to>
    <xdr:grpSp>
      <xdr:nvGrpSpPr>
        <xdr:cNvPr id="198" name="Group 197"/>
        <xdr:cNvGrpSpPr/>
      </xdr:nvGrpSpPr>
      <xdr:grpSpPr>
        <a:xfrm>
          <a:off x="8771812" y="4643280"/>
          <a:ext cx="1695081" cy="428244"/>
          <a:chOff x="8359773" y="3118247"/>
          <a:chExt cx="1632883" cy="447675"/>
        </a:xfrm>
      </xdr:grpSpPr>
      <xdr:grpSp>
        <xdr:nvGrpSpPr>
          <xdr:cNvPr id="199" name="Group 198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212" name="Picture 21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13" name="Picture 21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00" name="Group 199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210" name="Picture 20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11" name="Picture 21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01" name="Group 200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208" name="Picture 20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09" name="Picture 20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02" name="Group 201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206" name="Picture 20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07" name="Picture 20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03" name="Group 202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204" name="Picture 20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05" name="Picture 20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40</xdr:col>
      <xdr:colOff>47054</xdr:colOff>
      <xdr:row>22</xdr:row>
      <xdr:rowOff>152814</xdr:rowOff>
    </xdr:from>
    <xdr:to>
      <xdr:col>48</xdr:col>
      <xdr:colOff>7178</xdr:colOff>
      <xdr:row>24</xdr:row>
      <xdr:rowOff>219489</xdr:rowOff>
    </xdr:to>
    <xdr:grpSp>
      <xdr:nvGrpSpPr>
        <xdr:cNvPr id="214" name="Group 213"/>
        <xdr:cNvGrpSpPr/>
      </xdr:nvGrpSpPr>
      <xdr:grpSpPr>
        <a:xfrm>
          <a:off x="10504361" y="4643280"/>
          <a:ext cx="847854" cy="428244"/>
          <a:chOff x="8359773" y="3118247"/>
          <a:chExt cx="817397" cy="447675"/>
        </a:xfrm>
      </xdr:grpSpPr>
      <xdr:grpSp>
        <xdr:nvGrpSpPr>
          <xdr:cNvPr id="215" name="Group 214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220" name="Picture 21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21" name="Picture 22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16" name="Group 215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218" name="Picture 21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19" name="Picture 21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217" name="Picture 216"/>
          <xdr:cNvPicPr>
            <a:picLocks noChangeAspect="1"/>
          </xdr:cNvPicPr>
        </xdr:nvPicPr>
        <xdr:blipFill rotWithShape="1">
          <a:blip xmlns:r="http://schemas.openxmlformats.org/officeDocument/2006/relationships" r:embed="rId11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871" r="31590"/>
          <a:stretch/>
        </xdr:blipFill>
        <xdr:spPr>
          <a:xfrm>
            <a:off x="8997949" y="3118247"/>
            <a:ext cx="179221" cy="44767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24</xdr:col>
      <xdr:colOff>91108</xdr:colOff>
      <xdr:row>26</xdr:row>
      <xdr:rowOff>53916</xdr:rowOff>
    </xdr:from>
    <xdr:to>
      <xdr:col>40</xdr:col>
      <xdr:colOff>9303</xdr:colOff>
      <xdr:row>28</xdr:row>
      <xdr:rowOff>120591</xdr:rowOff>
    </xdr:to>
    <xdr:grpSp>
      <xdr:nvGrpSpPr>
        <xdr:cNvPr id="222" name="Group 221"/>
        <xdr:cNvGrpSpPr/>
      </xdr:nvGrpSpPr>
      <xdr:grpSpPr>
        <a:xfrm>
          <a:off x="8771812" y="5550222"/>
          <a:ext cx="1692512" cy="427482"/>
          <a:chOff x="8359773" y="3118247"/>
          <a:chExt cx="1632883" cy="447675"/>
        </a:xfrm>
      </xdr:grpSpPr>
      <xdr:grpSp>
        <xdr:nvGrpSpPr>
          <xdr:cNvPr id="223" name="Group 222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236" name="Picture 23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37" name="Picture 23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24" name="Group 223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234" name="Picture 23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35" name="Picture 23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25" name="Group 224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232" name="Picture 23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33" name="Picture 23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26" name="Group 225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230" name="Picture 22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31" name="Picture 23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27" name="Group 226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228" name="Picture 22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29" name="Picture 22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40</xdr:col>
      <xdr:colOff>50852</xdr:colOff>
      <xdr:row>26</xdr:row>
      <xdr:rowOff>49695</xdr:rowOff>
    </xdr:from>
    <xdr:to>
      <xdr:col>55</xdr:col>
      <xdr:colOff>74010</xdr:colOff>
      <xdr:row>28</xdr:row>
      <xdr:rowOff>116370</xdr:rowOff>
    </xdr:to>
    <xdr:grpSp>
      <xdr:nvGrpSpPr>
        <xdr:cNvPr id="238" name="Group 237"/>
        <xdr:cNvGrpSpPr/>
      </xdr:nvGrpSpPr>
      <xdr:grpSpPr>
        <a:xfrm>
          <a:off x="10508159" y="5546382"/>
          <a:ext cx="1693843" cy="427482"/>
          <a:chOff x="8359773" y="3118247"/>
          <a:chExt cx="1632883" cy="447675"/>
        </a:xfrm>
      </xdr:grpSpPr>
      <xdr:grpSp>
        <xdr:nvGrpSpPr>
          <xdr:cNvPr id="239" name="Group 238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252" name="Picture 25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53" name="Picture 25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40" name="Group 239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250" name="Picture 24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51" name="Picture 25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41" name="Group 240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248" name="Picture 24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49" name="Picture 24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42" name="Group 241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246" name="Picture 24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47" name="Picture 24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43" name="Group 242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244" name="Picture 24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45" name="Picture 24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56</xdr:col>
      <xdr:colOff>1519</xdr:colOff>
      <xdr:row>26</xdr:row>
      <xdr:rowOff>49695</xdr:rowOff>
    </xdr:from>
    <xdr:to>
      <xdr:col>71</xdr:col>
      <xdr:colOff>27576</xdr:colOff>
      <xdr:row>28</xdr:row>
      <xdr:rowOff>116370</xdr:rowOff>
    </xdr:to>
    <xdr:grpSp>
      <xdr:nvGrpSpPr>
        <xdr:cNvPr id="254" name="Group 253"/>
        <xdr:cNvGrpSpPr/>
      </xdr:nvGrpSpPr>
      <xdr:grpSpPr>
        <a:xfrm>
          <a:off x="12236191" y="5546382"/>
          <a:ext cx="1696742" cy="427482"/>
          <a:chOff x="8359773" y="3118247"/>
          <a:chExt cx="1632883" cy="447675"/>
        </a:xfrm>
      </xdr:grpSpPr>
      <xdr:grpSp>
        <xdr:nvGrpSpPr>
          <xdr:cNvPr id="255" name="Group 254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268" name="Picture 26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69" name="Picture 26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56" name="Group 255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266" name="Picture 26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67" name="Picture 26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57" name="Group 256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264" name="Picture 26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65" name="Picture 26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58" name="Group 257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262" name="Picture 26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63" name="Picture 26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59" name="Group 258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260" name="Picture 25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61" name="Picture 26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24</xdr:col>
      <xdr:colOff>94906</xdr:colOff>
      <xdr:row>28</xdr:row>
      <xdr:rowOff>78270</xdr:rowOff>
    </xdr:from>
    <xdr:to>
      <xdr:col>40</xdr:col>
      <xdr:colOff>15670</xdr:colOff>
      <xdr:row>30</xdr:row>
      <xdr:rowOff>144945</xdr:rowOff>
    </xdr:to>
    <xdr:grpSp>
      <xdr:nvGrpSpPr>
        <xdr:cNvPr id="270" name="Group 269"/>
        <xdr:cNvGrpSpPr/>
      </xdr:nvGrpSpPr>
      <xdr:grpSpPr>
        <a:xfrm>
          <a:off x="8775610" y="5938050"/>
          <a:ext cx="1696224" cy="427482"/>
          <a:chOff x="8359773" y="3118247"/>
          <a:chExt cx="1632883" cy="447675"/>
        </a:xfrm>
      </xdr:grpSpPr>
      <xdr:grpSp>
        <xdr:nvGrpSpPr>
          <xdr:cNvPr id="271" name="Group 270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284" name="Picture 28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85" name="Picture 28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72" name="Group 271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282" name="Picture 28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83" name="Picture 28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73" name="Group 272"/>
          <xdr:cNvGrpSpPr/>
        </xdr:nvGrpSpPr>
        <xdr:grpSpPr>
          <a:xfrm>
            <a:off x="8997949" y="3118247"/>
            <a:ext cx="356533" cy="447675"/>
            <a:chOff x="6143080" y="4575584"/>
            <a:chExt cx="561611" cy="718311"/>
          </a:xfrm>
        </xdr:grpSpPr>
        <xdr:pic>
          <xdr:nvPicPr>
            <xdr:cNvPr id="280" name="Picture 27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81" name="Picture 28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74" name="Group 273"/>
          <xdr:cNvGrpSpPr/>
        </xdr:nvGrpSpPr>
        <xdr:grpSpPr>
          <a:xfrm>
            <a:off x="9317037" y="3118247"/>
            <a:ext cx="356532" cy="447675"/>
            <a:chOff x="6143080" y="4575584"/>
            <a:chExt cx="561611" cy="718311"/>
          </a:xfrm>
        </xdr:grpSpPr>
        <xdr:pic>
          <xdr:nvPicPr>
            <xdr:cNvPr id="278" name="Picture 27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79" name="Picture 27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75" name="Group 274"/>
          <xdr:cNvGrpSpPr/>
        </xdr:nvGrpSpPr>
        <xdr:grpSpPr>
          <a:xfrm>
            <a:off x="9636123" y="3118247"/>
            <a:ext cx="356533" cy="447675"/>
            <a:chOff x="6143080" y="4575584"/>
            <a:chExt cx="561611" cy="718311"/>
          </a:xfrm>
        </xdr:grpSpPr>
        <xdr:pic>
          <xdr:nvPicPr>
            <xdr:cNvPr id="276" name="Picture 27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77" name="Picture 27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>
    <xdr:from>
      <xdr:col>40</xdr:col>
      <xdr:colOff>50852</xdr:colOff>
      <xdr:row>28</xdr:row>
      <xdr:rowOff>78270</xdr:rowOff>
    </xdr:from>
    <xdr:to>
      <xdr:col>48</xdr:col>
      <xdr:colOff>10976</xdr:colOff>
      <xdr:row>30</xdr:row>
      <xdr:rowOff>144945</xdr:rowOff>
    </xdr:to>
    <xdr:grpSp>
      <xdr:nvGrpSpPr>
        <xdr:cNvPr id="286" name="Group 285"/>
        <xdr:cNvGrpSpPr/>
      </xdr:nvGrpSpPr>
      <xdr:grpSpPr>
        <a:xfrm>
          <a:off x="10508159" y="5938050"/>
          <a:ext cx="847854" cy="427482"/>
          <a:chOff x="8359773" y="3118247"/>
          <a:chExt cx="817397" cy="447675"/>
        </a:xfrm>
      </xdr:grpSpPr>
      <xdr:grpSp>
        <xdr:nvGrpSpPr>
          <xdr:cNvPr id="287" name="Group 286"/>
          <xdr:cNvGrpSpPr/>
        </xdr:nvGrpSpPr>
        <xdr:grpSpPr>
          <a:xfrm>
            <a:off x="8359773" y="3118247"/>
            <a:ext cx="356533" cy="447675"/>
            <a:chOff x="6143080" y="4575584"/>
            <a:chExt cx="561611" cy="718311"/>
          </a:xfrm>
        </xdr:grpSpPr>
        <xdr:pic>
          <xdr:nvPicPr>
            <xdr:cNvPr id="292" name="Picture 29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0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93" name="Picture 29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12"/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grpSp>
        <xdr:nvGrpSpPr>
          <xdr:cNvPr id="288" name="Group 287"/>
          <xdr:cNvGrpSpPr/>
        </xdr:nvGrpSpPr>
        <xdr:grpSpPr>
          <a:xfrm>
            <a:off x="8678861" y="3118247"/>
            <a:ext cx="356533" cy="447675"/>
            <a:chOff x="6143080" y="4575584"/>
            <a:chExt cx="561611" cy="718311"/>
          </a:xfrm>
        </xdr:grpSpPr>
        <xdr:pic>
          <xdr:nvPicPr>
            <xdr:cNvPr id="290" name="Picture 28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470" r="31371"/>
            <a:stretch/>
          </xdr:blipFill>
          <xdr:spPr>
            <a:xfrm>
              <a:off x="6371725" y="4575584"/>
              <a:ext cx="332966" cy="7118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91" name="Picture 29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1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6143080" y="4575584"/>
              <a:ext cx="282309" cy="718311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289" name="Picture 288"/>
          <xdr:cNvPicPr>
            <a:picLocks noChangeAspect="1"/>
          </xdr:cNvPicPr>
        </xdr:nvPicPr>
        <xdr:blipFill rotWithShape="1">
          <a:blip xmlns:r="http://schemas.openxmlformats.org/officeDocument/2006/relationships" r:embed="rId11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871" r="31590"/>
          <a:stretch/>
        </xdr:blipFill>
        <xdr:spPr>
          <a:xfrm>
            <a:off x="8997949" y="3118247"/>
            <a:ext cx="179221" cy="44767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160955</xdr:colOff>
      <xdr:row>6</xdr:row>
      <xdr:rowOff>153825</xdr:rowOff>
    </xdr:from>
    <xdr:to>
      <xdr:col>24</xdr:col>
      <xdr:colOff>542925</xdr:colOff>
      <xdr:row>21</xdr:row>
      <xdr:rowOff>81885</xdr:rowOff>
    </xdr:to>
    <xdr:sp macro="" textlink="">
      <xdr:nvSpPr>
        <xdr:cNvPr id="59" name="Rectangle 58"/>
        <xdr:cNvSpPr/>
      </xdr:nvSpPr>
      <xdr:spPr>
        <a:xfrm>
          <a:off x="3770930" y="1487325"/>
          <a:ext cx="11354770" cy="3166560"/>
        </a:xfrm>
        <a:prstGeom prst="rect">
          <a:avLst/>
        </a:prstGeom>
        <a:solidFill>
          <a:srgbClr val="026C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180574</xdr:colOff>
      <xdr:row>7</xdr:row>
      <xdr:rowOff>380231</xdr:rowOff>
    </xdr:from>
    <xdr:to>
      <xdr:col>12</xdr:col>
      <xdr:colOff>159764</xdr:colOff>
      <xdr:row>20</xdr:row>
      <xdr:rowOff>179934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353786</xdr:colOff>
      <xdr:row>7</xdr:row>
      <xdr:rowOff>536201</xdr:rowOff>
    </xdr:from>
    <xdr:to>
      <xdr:col>18</xdr:col>
      <xdr:colOff>312964</xdr:colOff>
      <xdr:row>20</xdr:row>
      <xdr:rowOff>136072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382899</xdr:colOff>
      <xdr:row>13</xdr:row>
      <xdr:rowOff>56555</xdr:rowOff>
    </xdr:from>
    <xdr:to>
      <xdr:col>23</xdr:col>
      <xdr:colOff>538450</xdr:colOff>
      <xdr:row>21</xdr:row>
      <xdr:rowOff>1336</xdr:rowOff>
    </xdr:to>
    <xdr:grpSp>
      <xdr:nvGrpSpPr>
        <xdr:cNvPr id="30" name="Group 29"/>
        <xdr:cNvGrpSpPr/>
      </xdr:nvGrpSpPr>
      <xdr:grpSpPr>
        <a:xfrm>
          <a:off x="12773019" y="2860715"/>
          <a:ext cx="2593951" cy="1407821"/>
          <a:chOff x="13231155" y="2484385"/>
          <a:chExt cx="2603983" cy="1458885"/>
        </a:xfrm>
      </xdr:grpSpPr>
      <xdr:pic>
        <xdr:nvPicPr>
          <xdr:cNvPr id="25" name="Picture 24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colorTemperature colorTemp="6867"/>
                    </a14:imgEffect>
                    <a14:imgEffect>
                      <a14:saturation sat="66000"/>
                    </a14:imgEffect>
                    <a14:imgEffect>
                      <a14:brightnessContrast bright="40000"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29470" r="31371"/>
          <a:stretch/>
        </xdr:blipFill>
        <xdr:spPr>
          <a:xfrm>
            <a:off x="13739480" y="2484385"/>
            <a:ext cx="564648" cy="1458884"/>
          </a:xfrm>
          <a:prstGeom prst="rect">
            <a:avLst/>
          </a:prstGeom>
        </xdr:spPr>
      </xdr:pic>
      <xdr:pic>
        <xdr:nvPicPr>
          <xdr:cNvPr id="26" name="Picture 25"/>
          <xdr:cNvPicPr>
            <a:picLocks noChangeAspect="1"/>
          </xdr:cNvPicPr>
        </xdr:nvPicPr>
        <xdr:blipFill rotWithShape="1">
          <a:blip xmlns:r="http://schemas.openxmlformats.org/officeDocument/2006/relationships" r:embed="rId5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470" r="31371"/>
          <a:stretch/>
        </xdr:blipFill>
        <xdr:spPr>
          <a:xfrm>
            <a:off x="13231155" y="2484385"/>
            <a:ext cx="562637" cy="1458885"/>
          </a:xfrm>
          <a:prstGeom prst="rect">
            <a:avLst/>
          </a:prstGeom>
        </xdr:spPr>
      </xdr:pic>
      <xdr:pic>
        <xdr:nvPicPr>
          <xdr:cNvPr id="27" name="Picture 26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colorTemperature colorTemp="6867"/>
                    </a14:imgEffect>
                    <a14:imgEffect>
                      <a14:saturation sat="66000"/>
                    </a14:imgEffect>
                    <a14:imgEffect>
                      <a14:brightnessContrast bright="40000"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29470" r="31371"/>
          <a:stretch/>
        </xdr:blipFill>
        <xdr:spPr>
          <a:xfrm>
            <a:off x="14249817" y="2484385"/>
            <a:ext cx="564648" cy="1458884"/>
          </a:xfrm>
          <a:prstGeom prst="rect">
            <a:avLst/>
          </a:prstGeom>
        </xdr:spPr>
      </xdr:pic>
      <xdr:pic>
        <xdr:nvPicPr>
          <xdr:cNvPr id="28" name="Picture 27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colorTemperature colorTemp="6867"/>
                    </a14:imgEffect>
                    <a14:imgEffect>
                      <a14:saturation sat="66000"/>
                    </a14:imgEffect>
                    <a14:imgEffect>
                      <a14:brightnessContrast bright="40000"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29470" r="31371"/>
          <a:stretch/>
        </xdr:blipFill>
        <xdr:spPr>
          <a:xfrm>
            <a:off x="14760153" y="2484385"/>
            <a:ext cx="564648" cy="1458884"/>
          </a:xfrm>
          <a:prstGeom prst="rect">
            <a:avLst/>
          </a:prstGeom>
        </xdr:spPr>
      </xdr:pic>
      <xdr:pic>
        <xdr:nvPicPr>
          <xdr:cNvPr id="29" name="Picture 28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colorTemperature colorTemp="6867"/>
                    </a14:imgEffect>
                    <a14:imgEffect>
                      <a14:saturation sat="66000"/>
                    </a14:imgEffect>
                    <a14:imgEffect>
                      <a14:brightnessContrast bright="40000"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29470" r="31371"/>
          <a:stretch/>
        </xdr:blipFill>
        <xdr:spPr>
          <a:xfrm>
            <a:off x="15270490" y="2484385"/>
            <a:ext cx="564648" cy="1458884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72755</xdr:colOff>
      <xdr:row>15</xdr:row>
      <xdr:rowOff>23218</xdr:rowOff>
    </xdr:from>
    <xdr:to>
      <xdr:col>33</xdr:col>
      <xdr:colOff>92827</xdr:colOff>
      <xdr:row>35</xdr:row>
      <xdr:rowOff>20214</xdr:rowOff>
    </xdr:to>
    <xdr:grpSp>
      <xdr:nvGrpSpPr>
        <xdr:cNvPr id="94" name="Group 93"/>
        <xdr:cNvGrpSpPr/>
      </xdr:nvGrpSpPr>
      <xdr:grpSpPr>
        <a:xfrm>
          <a:off x="17339675" y="3193138"/>
          <a:ext cx="3677672" cy="3746036"/>
          <a:chOff x="12060845" y="5319395"/>
          <a:chExt cx="3694001" cy="3851820"/>
        </a:xfrm>
      </xdr:grpSpPr>
      <xdr:sp macro="" textlink="">
        <xdr:nvSpPr>
          <xdr:cNvPr id="86" name="Rectangle 85"/>
          <xdr:cNvSpPr/>
        </xdr:nvSpPr>
        <xdr:spPr>
          <a:xfrm>
            <a:off x="12083143" y="5319395"/>
            <a:ext cx="3646714" cy="3851820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46" name="Group 45"/>
          <xdr:cNvGrpSpPr/>
        </xdr:nvGrpSpPr>
        <xdr:grpSpPr>
          <a:xfrm>
            <a:off x="12611640" y="5451619"/>
            <a:ext cx="2603528" cy="1449555"/>
            <a:chOff x="13955056" y="1477116"/>
            <a:chExt cx="2603983" cy="1459080"/>
          </a:xfrm>
        </xdr:grpSpPr>
        <xdr:pic>
          <xdr:nvPicPr>
            <xdr:cNvPr id="32" name="Picture 3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13955056" y="1477116"/>
              <a:ext cx="561935" cy="1459080"/>
            </a:xfrm>
            <a:prstGeom prst="rect">
              <a:avLst/>
            </a:prstGeom>
          </xdr:spPr>
        </xdr:pic>
        <xdr:pic>
          <xdr:nvPicPr>
            <xdr:cNvPr id="39" name="Picture 3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extLst>
                <a:ext uri="{BEBA8EAE-BF5A-486C-A8C5-ECC9F3942E4B}">
                  <a14:imgProps xmlns:a14="http://schemas.microsoft.com/office/drawing/2010/main">
                    <a14:imgLayer r:embed="rId8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15486592" y="1477116"/>
              <a:ext cx="561935" cy="1459080"/>
            </a:xfrm>
            <a:prstGeom prst="rect">
              <a:avLst/>
            </a:prstGeom>
          </xdr:spPr>
        </xdr:pic>
        <xdr:pic>
          <xdr:nvPicPr>
            <xdr:cNvPr id="43" name="Picture 4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extLst>
                <a:ext uri="{BEBA8EAE-BF5A-486C-A8C5-ECC9F3942E4B}">
                  <a14:imgProps xmlns:a14="http://schemas.microsoft.com/office/drawing/2010/main">
                    <a14:imgLayer r:embed="rId8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14465568" y="1477116"/>
              <a:ext cx="561935" cy="1459080"/>
            </a:xfrm>
            <a:prstGeom prst="rect">
              <a:avLst/>
            </a:prstGeom>
          </xdr:spPr>
        </xdr:pic>
        <xdr:pic>
          <xdr:nvPicPr>
            <xdr:cNvPr id="44" name="Picture 4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extLst>
                <a:ext uri="{BEBA8EAE-BF5A-486C-A8C5-ECC9F3942E4B}">
                  <a14:imgProps xmlns:a14="http://schemas.microsoft.com/office/drawing/2010/main">
                    <a14:imgLayer r:embed="rId8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14976080" y="1477116"/>
              <a:ext cx="561935" cy="1459080"/>
            </a:xfrm>
            <a:prstGeom prst="rect">
              <a:avLst/>
            </a:prstGeom>
          </xdr:spPr>
        </xdr:pic>
        <xdr:pic>
          <xdr:nvPicPr>
            <xdr:cNvPr id="45" name="Picture 4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extLst>
                <a:ext uri="{BEBA8EAE-BF5A-486C-A8C5-ECC9F3942E4B}">
                  <a14:imgProps xmlns:a14="http://schemas.microsoft.com/office/drawing/2010/main">
                    <a14:imgLayer r:embed="rId8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71" r="31590"/>
            <a:stretch/>
          </xdr:blipFill>
          <xdr:spPr>
            <a:xfrm>
              <a:off x="15997104" y="1477116"/>
              <a:ext cx="561935" cy="1459080"/>
            </a:xfrm>
            <a:prstGeom prst="rect">
              <a:avLst/>
            </a:prstGeom>
          </xdr:spPr>
        </xdr:pic>
      </xdr:grpSp>
      <xdr:grpSp>
        <xdr:nvGrpSpPr>
          <xdr:cNvPr id="52" name="Group 51"/>
          <xdr:cNvGrpSpPr/>
        </xdr:nvGrpSpPr>
        <xdr:grpSpPr>
          <a:xfrm>
            <a:off x="12060845" y="6910841"/>
            <a:ext cx="3694001" cy="1006552"/>
            <a:chOff x="12513866" y="3273414"/>
            <a:chExt cx="3685203" cy="1006552"/>
          </a:xfrm>
        </xdr:grpSpPr>
        <xdr:pic>
          <xdr:nvPicPr>
            <xdr:cNvPr id="47" name="Picture 46"/>
            <xdr:cNvPicPr>
              <a:picLocks noChangeAspect="1"/>
            </xdr:cNvPicPr>
          </xdr:nvPicPr>
          <xdr:blipFill>
            <a:blip xmlns:r="http://schemas.openxmlformats.org/officeDocument/2006/relationships" r:embed="rId9">
              <a:extLst>
                <a:ext uri="{BEBA8EAE-BF5A-486C-A8C5-ECC9F3942E4B}">
                  <a14:imgProps xmlns:a14="http://schemas.microsoft.com/office/drawing/2010/main">
                    <a14:imgLayer r:embed="rId10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183901" y="3273414"/>
              <a:ext cx="1005065" cy="1006552"/>
            </a:xfrm>
            <a:prstGeom prst="rect">
              <a:avLst/>
            </a:prstGeom>
          </xdr:spPr>
        </xdr:pic>
        <xdr:pic>
          <xdr:nvPicPr>
            <xdr:cNvPr id="48" name="Picture 47"/>
            <xdr:cNvPicPr>
              <a:picLocks noChangeAspect="1"/>
            </xdr:cNvPicPr>
          </xdr:nvPicPr>
          <xdr:blipFill>
            <a:blip xmlns:r="http://schemas.openxmlformats.org/officeDocument/2006/relationships" r:embed="rId11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513866" y="3273414"/>
              <a:ext cx="1005065" cy="1006552"/>
            </a:xfrm>
            <a:prstGeom prst="rect">
              <a:avLst/>
            </a:prstGeom>
          </xdr:spPr>
        </xdr:pic>
        <xdr:pic>
          <xdr:nvPicPr>
            <xdr:cNvPr id="49" name="Picture 48"/>
            <xdr:cNvPicPr>
              <a:picLocks noChangeAspect="1"/>
            </xdr:cNvPicPr>
          </xdr:nvPicPr>
          <xdr:blipFill>
            <a:blip xmlns:r="http://schemas.openxmlformats.org/officeDocument/2006/relationships" r:embed="rId9">
              <a:extLst>
                <a:ext uri="{BEBA8EAE-BF5A-486C-A8C5-ECC9F3942E4B}">
                  <a14:imgProps xmlns:a14="http://schemas.microsoft.com/office/drawing/2010/main">
                    <a14:imgLayer r:embed="rId10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194004" y="3273414"/>
              <a:ext cx="1005065" cy="1006552"/>
            </a:xfrm>
            <a:prstGeom prst="rect">
              <a:avLst/>
            </a:prstGeom>
          </xdr:spPr>
        </xdr:pic>
        <xdr:pic>
          <xdr:nvPicPr>
            <xdr:cNvPr id="50" name="Picture 49"/>
            <xdr:cNvPicPr>
              <a:picLocks noChangeAspect="1"/>
            </xdr:cNvPicPr>
          </xdr:nvPicPr>
          <xdr:blipFill>
            <a:blip xmlns:r="http://schemas.openxmlformats.org/officeDocument/2006/relationships" r:embed="rId9">
              <a:extLst>
                <a:ext uri="{BEBA8EAE-BF5A-486C-A8C5-ECC9F3942E4B}">
                  <a14:imgProps xmlns:a14="http://schemas.microsoft.com/office/drawing/2010/main">
                    <a14:imgLayer r:embed="rId10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853935" y="3273414"/>
              <a:ext cx="1005065" cy="1006552"/>
            </a:xfrm>
            <a:prstGeom prst="rect">
              <a:avLst/>
            </a:prstGeom>
          </xdr:spPr>
        </xdr:pic>
        <xdr:pic>
          <xdr:nvPicPr>
            <xdr:cNvPr id="51" name="Picture 50"/>
            <xdr:cNvPicPr>
              <a:picLocks noChangeAspect="1"/>
            </xdr:cNvPicPr>
          </xdr:nvPicPr>
          <xdr:blipFill>
            <a:blip xmlns:r="http://schemas.openxmlformats.org/officeDocument/2006/relationships" r:embed="rId9">
              <a:extLst>
                <a:ext uri="{BEBA8EAE-BF5A-486C-A8C5-ECC9F3942E4B}">
                  <a14:imgProps xmlns:a14="http://schemas.microsoft.com/office/drawing/2010/main">
                    <a14:imgLayer r:embed="rId10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523969" y="3273414"/>
              <a:ext cx="1005065" cy="1006552"/>
            </a:xfrm>
            <a:prstGeom prst="rect">
              <a:avLst/>
            </a:prstGeom>
          </xdr:spPr>
        </xdr:pic>
      </xdr:grpSp>
      <xdr:grpSp>
        <xdr:nvGrpSpPr>
          <xdr:cNvPr id="58" name="Group 57"/>
          <xdr:cNvGrpSpPr/>
        </xdr:nvGrpSpPr>
        <xdr:grpSpPr>
          <a:xfrm>
            <a:off x="12123710" y="8285821"/>
            <a:ext cx="3574892" cy="778329"/>
            <a:chOff x="12537622" y="3497034"/>
            <a:chExt cx="3573235" cy="778329"/>
          </a:xfrm>
        </xdr:grpSpPr>
        <xdr:pic>
          <xdr:nvPicPr>
            <xdr:cNvPr id="53" name="Picture 52"/>
            <xdr:cNvPicPr>
              <a:picLocks noChangeAspect="1"/>
            </xdr:cNvPicPr>
          </xdr:nvPicPr>
          <xdr:blipFill>
            <a:blip xmlns:r="http://schemas.openxmlformats.org/officeDocument/2006/relationships" r:embed="rId12">
              <a:extLst>
                <a:ext uri="{BEBA8EAE-BF5A-486C-A8C5-ECC9F3942E4B}">
                  <a14:imgProps xmlns:a14="http://schemas.microsoft.com/office/drawing/2010/main">
                    <a14:imgLayer r:embed="rId13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236349" y="3497034"/>
              <a:ext cx="778329" cy="778329"/>
            </a:xfrm>
            <a:prstGeom prst="rect">
              <a:avLst/>
            </a:prstGeom>
          </xdr:spPr>
        </xdr:pic>
        <xdr:pic>
          <xdr:nvPicPr>
            <xdr:cNvPr id="54" name="Picture 53"/>
            <xdr:cNvPicPr>
              <a:picLocks noChangeAspect="1"/>
            </xdr:cNvPicPr>
          </xdr:nvPicPr>
          <xdr:blipFill>
            <a:blip xmlns:r="http://schemas.openxmlformats.org/officeDocument/2006/relationships" r:embed="rId14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537622" y="3497034"/>
              <a:ext cx="778329" cy="778329"/>
            </a:xfrm>
            <a:prstGeom prst="rect">
              <a:avLst/>
            </a:prstGeom>
          </xdr:spPr>
        </xdr:pic>
        <xdr:pic>
          <xdr:nvPicPr>
            <xdr:cNvPr id="55" name="Picture 54"/>
            <xdr:cNvPicPr>
              <a:picLocks noChangeAspect="1"/>
            </xdr:cNvPicPr>
          </xdr:nvPicPr>
          <xdr:blipFill>
            <a:blip xmlns:r="http://schemas.openxmlformats.org/officeDocument/2006/relationships" r:embed="rId12">
              <a:extLst>
                <a:ext uri="{BEBA8EAE-BF5A-486C-A8C5-ECC9F3942E4B}">
                  <a14:imgProps xmlns:a14="http://schemas.microsoft.com/office/drawing/2010/main">
                    <a14:imgLayer r:embed="rId13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935076" y="3497034"/>
              <a:ext cx="778329" cy="778329"/>
            </a:xfrm>
            <a:prstGeom prst="rect">
              <a:avLst/>
            </a:prstGeom>
          </xdr:spPr>
        </xdr:pic>
        <xdr:pic>
          <xdr:nvPicPr>
            <xdr:cNvPr id="56" name="Picture 55"/>
            <xdr:cNvPicPr>
              <a:picLocks noChangeAspect="1"/>
            </xdr:cNvPicPr>
          </xdr:nvPicPr>
          <xdr:blipFill>
            <a:blip xmlns:r="http://schemas.openxmlformats.org/officeDocument/2006/relationships" r:embed="rId12">
              <a:extLst>
                <a:ext uri="{BEBA8EAE-BF5A-486C-A8C5-ECC9F3942E4B}">
                  <a14:imgProps xmlns:a14="http://schemas.microsoft.com/office/drawing/2010/main">
                    <a14:imgLayer r:embed="rId13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633803" y="3497034"/>
              <a:ext cx="778329" cy="778329"/>
            </a:xfrm>
            <a:prstGeom prst="rect">
              <a:avLst/>
            </a:prstGeom>
          </xdr:spPr>
        </xdr:pic>
        <xdr:pic>
          <xdr:nvPicPr>
            <xdr:cNvPr id="57" name="Picture 56"/>
            <xdr:cNvPicPr>
              <a:picLocks noChangeAspect="1"/>
            </xdr:cNvPicPr>
          </xdr:nvPicPr>
          <xdr:blipFill>
            <a:blip xmlns:r="http://schemas.openxmlformats.org/officeDocument/2006/relationships" r:embed="rId12">
              <a:extLst>
                <a:ext uri="{BEBA8EAE-BF5A-486C-A8C5-ECC9F3942E4B}">
                  <a14:imgProps xmlns:a14="http://schemas.microsoft.com/office/drawing/2010/main">
                    <a14:imgLayer r:embed="rId13">
                      <a14:imgEffect>
                        <a14:saturation sat="66000"/>
                      </a14:imgEffect>
                      <a14:imgEffect>
                        <a14:brightnessContrast bright="40000"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332528" y="3497034"/>
              <a:ext cx="778329" cy="77832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6</xdr:col>
      <xdr:colOff>274863</xdr:colOff>
      <xdr:row>7</xdr:row>
      <xdr:rowOff>59231</xdr:rowOff>
    </xdr:from>
    <xdr:to>
      <xdr:col>12</xdr:col>
      <xdr:colOff>117020</xdr:colOff>
      <xdr:row>7</xdr:row>
      <xdr:rowOff>369473</xdr:rowOff>
    </xdr:to>
    <xdr:grpSp>
      <xdr:nvGrpSpPr>
        <xdr:cNvPr id="71" name="Group 70"/>
        <xdr:cNvGrpSpPr/>
      </xdr:nvGrpSpPr>
      <xdr:grpSpPr>
        <a:xfrm>
          <a:off x="4740183" y="1583231"/>
          <a:ext cx="3499757" cy="310242"/>
          <a:chOff x="4208688" y="4783631"/>
          <a:chExt cx="3499757" cy="310242"/>
        </a:xfrm>
      </xdr:grpSpPr>
      <xdr:sp macro="" textlink="$H$9">
        <xdr:nvSpPr>
          <xdr:cNvPr id="60" name="TextBox 59"/>
          <xdr:cNvSpPr txBox="1"/>
        </xdr:nvSpPr>
        <xdr:spPr>
          <a:xfrm>
            <a:off x="4208688" y="4800040"/>
            <a:ext cx="3487512" cy="2686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noAutofit/>
          </a:bodyPr>
          <a:lstStyle/>
          <a:p>
            <a:fld id="{277148B8-8D67-44A0-9925-9643D9658400}" type="TxLink">
              <a:rPr lang="en-US" sz="2100" b="0" i="0" u="none" strike="noStrike">
                <a:solidFill>
                  <a:schemeClr val="bg1"/>
                </a:solidFill>
                <a:latin typeface="Calibri"/>
              </a:rPr>
              <a:pPr/>
              <a:t>LOREM IPSUM</a:t>
            </a:fld>
            <a:endParaRPr lang="en-GB" sz="2100">
              <a:solidFill>
                <a:schemeClr val="bg1"/>
              </a:solidFill>
            </a:endParaRPr>
          </a:p>
        </xdr:txBody>
      </xdr:sp>
      <xdr:grpSp>
        <xdr:nvGrpSpPr>
          <xdr:cNvPr id="70" name="Group 69"/>
          <xdr:cNvGrpSpPr/>
        </xdr:nvGrpSpPr>
        <xdr:grpSpPr>
          <a:xfrm>
            <a:off x="4208688" y="4783631"/>
            <a:ext cx="3499757" cy="310242"/>
            <a:chOff x="4207329" y="4740088"/>
            <a:chExt cx="3499757" cy="310242"/>
          </a:xfrm>
        </xdr:grpSpPr>
        <xdr:cxnSp macro="">
          <xdr:nvCxnSpPr>
            <xdr:cNvPr id="64" name="Straight Connector 63"/>
            <xdr:cNvCxnSpPr/>
          </xdr:nvCxnSpPr>
          <xdr:spPr>
            <a:xfrm>
              <a:off x="4207329" y="4740088"/>
              <a:ext cx="3499757" cy="0"/>
            </a:xfrm>
            <a:prstGeom prst="line">
              <a:avLst/>
            </a:prstGeom>
            <a:ln w="19050">
              <a:solidFill>
                <a:schemeClr val="tx2">
                  <a:lumMod val="20000"/>
                  <a:lumOff val="8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" name="Straight Connector 68"/>
            <xdr:cNvCxnSpPr/>
          </xdr:nvCxnSpPr>
          <xdr:spPr>
            <a:xfrm>
              <a:off x="4207329" y="5050330"/>
              <a:ext cx="3499757" cy="0"/>
            </a:xfrm>
            <a:prstGeom prst="line">
              <a:avLst/>
            </a:prstGeom>
            <a:ln w="19050">
              <a:solidFill>
                <a:schemeClr val="tx2">
                  <a:lumMod val="20000"/>
                  <a:lumOff val="8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12</xdr:col>
      <xdr:colOff>436788</xdr:colOff>
      <xdr:row>7</xdr:row>
      <xdr:rowOff>59231</xdr:rowOff>
    </xdr:from>
    <xdr:to>
      <xdr:col>18</xdr:col>
      <xdr:colOff>278945</xdr:colOff>
      <xdr:row>7</xdr:row>
      <xdr:rowOff>369473</xdr:rowOff>
    </xdr:to>
    <xdr:grpSp>
      <xdr:nvGrpSpPr>
        <xdr:cNvPr id="72" name="Group 71"/>
        <xdr:cNvGrpSpPr/>
      </xdr:nvGrpSpPr>
      <xdr:grpSpPr>
        <a:xfrm>
          <a:off x="8559708" y="1583231"/>
          <a:ext cx="3499757" cy="310242"/>
          <a:chOff x="4208688" y="4783631"/>
          <a:chExt cx="3499757" cy="310242"/>
        </a:xfrm>
      </xdr:grpSpPr>
      <xdr:sp macro="" textlink="$N$9">
        <xdr:nvSpPr>
          <xdr:cNvPr id="73" name="TextBox 72"/>
          <xdr:cNvSpPr txBox="1"/>
        </xdr:nvSpPr>
        <xdr:spPr>
          <a:xfrm>
            <a:off x="4208688" y="4800040"/>
            <a:ext cx="3487512" cy="2686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noAutofit/>
          </a:bodyPr>
          <a:lstStyle/>
          <a:p>
            <a:fld id="{F1B3F2FE-F2BA-47B2-966F-5414C84B00F9}" type="TxLink">
              <a:rPr lang="en-US" sz="2100" b="0" i="0" u="none" strike="noStrike">
                <a:solidFill>
                  <a:schemeClr val="bg1"/>
                </a:solidFill>
                <a:latin typeface="Calibri"/>
              </a:rPr>
              <a:pPr/>
              <a:t>MAURIS FINIBUS</a:t>
            </a:fld>
            <a:endParaRPr lang="en-GB" sz="2100">
              <a:solidFill>
                <a:schemeClr val="bg1"/>
              </a:solidFill>
            </a:endParaRPr>
          </a:p>
        </xdr:txBody>
      </xdr:sp>
      <xdr:grpSp>
        <xdr:nvGrpSpPr>
          <xdr:cNvPr id="74" name="Group 73"/>
          <xdr:cNvGrpSpPr/>
        </xdr:nvGrpSpPr>
        <xdr:grpSpPr>
          <a:xfrm>
            <a:off x="4208688" y="4783631"/>
            <a:ext cx="3499757" cy="310242"/>
            <a:chOff x="4207329" y="4740088"/>
            <a:chExt cx="3499757" cy="310242"/>
          </a:xfrm>
        </xdr:grpSpPr>
        <xdr:cxnSp macro="">
          <xdr:nvCxnSpPr>
            <xdr:cNvPr id="75" name="Straight Connector 74"/>
            <xdr:cNvCxnSpPr/>
          </xdr:nvCxnSpPr>
          <xdr:spPr>
            <a:xfrm>
              <a:off x="4207329" y="4740088"/>
              <a:ext cx="3499757" cy="0"/>
            </a:xfrm>
            <a:prstGeom prst="line">
              <a:avLst/>
            </a:prstGeom>
            <a:ln w="19050">
              <a:solidFill>
                <a:schemeClr val="tx2">
                  <a:lumMod val="20000"/>
                  <a:lumOff val="8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" name="Straight Connector 75"/>
            <xdr:cNvCxnSpPr/>
          </xdr:nvCxnSpPr>
          <xdr:spPr>
            <a:xfrm>
              <a:off x="4207329" y="5050330"/>
              <a:ext cx="3499757" cy="0"/>
            </a:xfrm>
            <a:prstGeom prst="line">
              <a:avLst/>
            </a:prstGeom>
            <a:ln w="19050">
              <a:solidFill>
                <a:schemeClr val="tx2">
                  <a:lumMod val="20000"/>
                  <a:lumOff val="8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560613</xdr:colOff>
      <xdr:row>7</xdr:row>
      <xdr:rowOff>59231</xdr:rowOff>
    </xdr:from>
    <xdr:to>
      <xdr:col>24</xdr:col>
      <xdr:colOff>402770</xdr:colOff>
      <xdr:row>7</xdr:row>
      <xdr:rowOff>369473</xdr:rowOff>
    </xdr:to>
    <xdr:grpSp>
      <xdr:nvGrpSpPr>
        <xdr:cNvPr id="77" name="Group 76"/>
        <xdr:cNvGrpSpPr/>
      </xdr:nvGrpSpPr>
      <xdr:grpSpPr>
        <a:xfrm>
          <a:off x="12341133" y="1583231"/>
          <a:ext cx="3499757" cy="310242"/>
          <a:chOff x="4208688" y="4783631"/>
          <a:chExt cx="3499757" cy="310242"/>
        </a:xfrm>
      </xdr:grpSpPr>
      <xdr:sp macro="" textlink="$T$9">
        <xdr:nvSpPr>
          <xdr:cNvPr id="78" name="TextBox 77"/>
          <xdr:cNvSpPr txBox="1"/>
        </xdr:nvSpPr>
        <xdr:spPr>
          <a:xfrm>
            <a:off x="4208688" y="4800040"/>
            <a:ext cx="3239862" cy="2686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noAutofit/>
          </a:bodyPr>
          <a:lstStyle/>
          <a:p>
            <a:fld id="{D1EE9997-401A-43B2-A3CF-21EF85B7ADA7}" type="TxLink">
              <a:rPr lang="en-US" sz="2100" b="0" i="0" u="none" strike="noStrike">
                <a:solidFill>
                  <a:schemeClr val="bg1"/>
                </a:solidFill>
                <a:latin typeface="+mn-lt"/>
              </a:rPr>
              <a:pPr/>
              <a:t>NUTRITION</a:t>
            </a:fld>
            <a:endParaRPr lang="en-GB" sz="2100">
              <a:solidFill>
                <a:schemeClr val="bg1"/>
              </a:solidFill>
              <a:latin typeface="+mn-lt"/>
            </a:endParaRPr>
          </a:p>
        </xdr:txBody>
      </xdr:sp>
      <xdr:grpSp>
        <xdr:nvGrpSpPr>
          <xdr:cNvPr id="79" name="Group 78"/>
          <xdr:cNvGrpSpPr/>
        </xdr:nvGrpSpPr>
        <xdr:grpSpPr>
          <a:xfrm>
            <a:off x="4208688" y="4783631"/>
            <a:ext cx="3499757" cy="310242"/>
            <a:chOff x="4207329" y="4740088"/>
            <a:chExt cx="3499757" cy="310242"/>
          </a:xfrm>
        </xdr:grpSpPr>
        <xdr:cxnSp macro="">
          <xdr:nvCxnSpPr>
            <xdr:cNvPr id="80" name="Straight Connector 79"/>
            <xdr:cNvCxnSpPr/>
          </xdr:nvCxnSpPr>
          <xdr:spPr>
            <a:xfrm>
              <a:off x="4207329" y="4740088"/>
              <a:ext cx="3499757" cy="0"/>
            </a:xfrm>
            <a:prstGeom prst="line">
              <a:avLst/>
            </a:prstGeom>
            <a:ln w="19050">
              <a:solidFill>
                <a:schemeClr val="tx2">
                  <a:lumMod val="20000"/>
                  <a:lumOff val="8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" name="Straight Connector 80"/>
            <xdr:cNvCxnSpPr/>
          </xdr:nvCxnSpPr>
          <xdr:spPr>
            <a:xfrm>
              <a:off x="4207329" y="5050330"/>
              <a:ext cx="3499757" cy="0"/>
            </a:xfrm>
            <a:prstGeom prst="line">
              <a:avLst/>
            </a:prstGeom>
            <a:ln w="19050">
              <a:solidFill>
                <a:schemeClr val="tx2">
                  <a:lumMod val="20000"/>
                  <a:lumOff val="8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12</xdr:col>
      <xdr:colOff>263979</xdr:colOff>
      <xdr:row>7</xdr:row>
      <xdr:rowOff>59231</xdr:rowOff>
    </xdr:from>
    <xdr:to>
      <xdr:col>12</xdr:col>
      <xdr:colOff>263979</xdr:colOff>
      <xdr:row>20</xdr:row>
      <xdr:rowOff>94609</xdr:rowOff>
    </xdr:to>
    <xdr:cxnSp macro="">
      <xdr:nvCxnSpPr>
        <xdr:cNvPr id="82" name="Straight Connector 81"/>
        <xdr:cNvCxnSpPr/>
      </xdr:nvCxnSpPr>
      <xdr:spPr>
        <a:xfrm>
          <a:off x="7531554" y="1202231"/>
          <a:ext cx="0" cy="2892878"/>
        </a:xfrm>
        <a:prstGeom prst="line">
          <a:avLst/>
        </a:prstGeom>
        <a:ln w="19050">
          <a:solidFill>
            <a:schemeClr val="tx2">
              <a:lumMod val="20000"/>
              <a:lumOff val="8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416379</xdr:colOff>
      <xdr:row>7</xdr:row>
      <xdr:rowOff>59231</xdr:rowOff>
    </xdr:from>
    <xdr:to>
      <xdr:col>18</xdr:col>
      <xdr:colOff>416379</xdr:colOff>
      <xdr:row>20</xdr:row>
      <xdr:rowOff>94609</xdr:rowOff>
    </xdr:to>
    <xdr:cxnSp macro="">
      <xdr:nvCxnSpPr>
        <xdr:cNvPr id="85" name="Straight Connector 84"/>
        <xdr:cNvCxnSpPr/>
      </xdr:nvCxnSpPr>
      <xdr:spPr>
        <a:xfrm>
          <a:off x="11341554" y="1202231"/>
          <a:ext cx="0" cy="2892878"/>
        </a:xfrm>
        <a:prstGeom prst="line">
          <a:avLst/>
        </a:prstGeom>
        <a:ln w="19050">
          <a:solidFill>
            <a:schemeClr val="tx2">
              <a:lumMod val="20000"/>
              <a:lumOff val="8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68035</xdr:colOff>
      <xdr:row>8</xdr:row>
      <xdr:rowOff>186061</xdr:rowOff>
    </xdr:from>
    <xdr:to>
      <xdr:col>21</xdr:col>
      <xdr:colOff>108857</xdr:colOff>
      <xdr:row>11</xdr:row>
      <xdr:rowOff>49989</xdr:rowOff>
    </xdr:to>
    <xdr:sp macro="" textlink="$B$32">
      <xdr:nvSpPr>
        <xdr:cNvPr id="87" name="TextBox 86"/>
        <xdr:cNvSpPr txBox="1"/>
      </xdr:nvSpPr>
      <xdr:spPr>
        <a:xfrm>
          <a:off x="12170738" y="1906514"/>
          <a:ext cx="648041" cy="435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0">
          <a:noAutofit/>
        </a:bodyPr>
        <a:lstStyle/>
        <a:p>
          <a:pPr algn="r"/>
          <a:fld id="{D9DFCC60-D7CF-440A-A8BA-42AF685C6DA3}" type="TxLink">
            <a:rPr lang="en-US" sz="4400" b="0" i="0" u="none" strike="noStrike">
              <a:solidFill>
                <a:schemeClr val="bg1"/>
              </a:solidFill>
              <a:latin typeface="Calibri"/>
            </a:rPr>
            <a:pPr algn="r"/>
            <a:t>1</a:t>
          </a:fld>
          <a:endParaRPr lang="en-GB" sz="4400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299357</xdr:colOff>
      <xdr:row>11</xdr:row>
      <xdr:rowOff>4254</xdr:rowOff>
    </xdr:from>
    <xdr:to>
      <xdr:col>22</xdr:col>
      <xdr:colOff>569632</xdr:colOff>
      <xdr:row>12</xdr:row>
      <xdr:rowOff>173132</xdr:rowOff>
    </xdr:to>
    <xdr:sp macro="" textlink="$C$33">
      <xdr:nvSpPr>
        <xdr:cNvPr id="88" name="TextBox 1"/>
        <xdr:cNvSpPr txBox="1"/>
      </xdr:nvSpPr>
      <xdr:spPr>
        <a:xfrm>
          <a:off x="12402060" y="2296207"/>
          <a:ext cx="1484713" cy="35937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fld id="{F3957F32-EED4-4216-89AA-7D71009252A8}" type="TxLink">
            <a:rPr lang="en-US" sz="1700" b="0" i="0" u="none" strike="noStrike">
              <a:solidFill>
                <a:schemeClr val="bg1"/>
              </a:solidFill>
              <a:latin typeface="Calibri"/>
            </a:rPr>
            <a:pPr algn="ctr"/>
            <a:t>malnourished</a:t>
          </a:fld>
          <a:endParaRPr lang="en-GB" sz="1700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16328</xdr:colOff>
      <xdr:row>9</xdr:row>
      <xdr:rowOff>144386</xdr:rowOff>
    </xdr:from>
    <xdr:to>
      <xdr:col>22</xdr:col>
      <xdr:colOff>285749</xdr:colOff>
      <xdr:row>11</xdr:row>
      <xdr:rowOff>122764</xdr:rowOff>
    </xdr:to>
    <xdr:sp macro="" textlink="">
      <xdr:nvSpPr>
        <xdr:cNvPr id="89" name="TextBox 1"/>
        <xdr:cNvSpPr txBox="1"/>
      </xdr:nvSpPr>
      <xdr:spPr>
        <a:xfrm>
          <a:off x="12807042" y="2062993"/>
          <a:ext cx="881743" cy="35937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700" b="0" i="0" u="none" strike="noStrike">
              <a:solidFill>
                <a:schemeClr val="bg1"/>
              </a:solidFill>
              <a:latin typeface="Calibri"/>
            </a:rPr>
            <a:t>out of</a:t>
          </a:r>
          <a:endParaRPr lang="en-GB" sz="1700">
            <a:solidFill>
              <a:schemeClr val="bg1"/>
            </a:solidFill>
          </a:endParaRPr>
        </a:p>
      </xdr:txBody>
    </xdr:sp>
    <xdr:clientData/>
  </xdr:twoCellAnchor>
  <xdr:twoCellAnchor>
    <xdr:from>
      <xdr:col>22</xdr:col>
      <xdr:colOff>193221</xdr:colOff>
      <xdr:row>8</xdr:row>
      <xdr:rowOff>186061</xdr:rowOff>
    </xdr:from>
    <xdr:to>
      <xdr:col>23</xdr:col>
      <xdr:colOff>234043</xdr:colOff>
      <xdr:row>11</xdr:row>
      <xdr:rowOff>49989</xdr:rowOff>
    </xdr:to>
    <xdr:sp macro="" textlink="$D$32">
      <xdr:nvSpPr>
        <xdr:cNvPr id="90" name="TextBox 89"/>
        <xdr:cNvSpPr txBox="1"/>
      </xdr:nvSpPr>
      <xdr:spPr>
        <a:xfrm>
          <a:off x="13510362" y="1906514"/>
          <a:ext cx="648040" cy="435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0">
          <a:noAutofit/>
        </a:bodyPr>
        <a:lstStyle/>
        <a:p>
          <a:pPr algn="l"/>
          <a:fld id="{A6EC369F-D4BC-4B13-86D4-1DE3DC4C2C4D}" type="TxLink">
            <a:rPr lang="en-US" sz="4400" b="0" i="0" u="none" strike="noStrike">
              <a:solidFill>
                <a:schemeClr val="bg1"/>
              </a:solidFill>
              <a:latin typeface="Calibri"/>
            </a:rPr>
            <a:pPr algn="l"/>
            <a:t>5</a:t>
          </a:fld>
          <a:endParaRPr lang="en-GB" sz="44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0.35661</cdr:x>
      <cdr:y>0.26482</cdr:y>
    </cdr:from>
    <cdr:to>
      <cdr:x>0.6409</cdr:x>
      <cdr:y>0.51383</cdr:y>
    </cdr:to>
    <cdr:sp macro="" textlink="'Sector Footer Charts'!$D$28">
      <cdr:nvSpPr>
        <cdr:cNvPr id="2" name="TextBox 1"/>
        <cdr:cNvSpPr txBox="1"/>
      </cdr:nvSpPr>
      <cdr:spPr>
        <a:xfrm xmlns:a="http://schemas.openxmlformats.org/drawingml/2006/main">
          <a:off x="1362076" y="638175"/>
          <a:ext cx="10858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5FF932DB-8475-4966-BCD0-D877357D6054}" type="TxLink">
            <a:rPr lang="en-US" sz="4400" b="0" i="0" u="none" strike="noStrike">
              <a:solidFill>
                <a:schemeClr val="bg1"/>
              </a:solidFill>
              <a:latin typeface="Calibri"/>
            </a:rPr>
            <a:pPr algn="ctr"/>
            <a:t>48%</a:t>
          </a:fld>
          <a:endParaRPr lang="en-GB" sz="44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0.29399</cdr:x>
      <cdr:y>0.5098</cdr:y>
    </cdr:from>
    <cdr:to>
      <cdr:x>0.70546</cdr:x>
      <cdr:y>0.65605</cdr:y>
    </cdr:to>
    <cdr:sp macro="" textlink="'Sector Footer Charts'!$D$27">
      <cdr:nvSpPr>
        <cdr:cNvPr id="3" name="TextBox 2"/>
        <cdr:cNvSpPr txBox="1"/>
      </cdr:nvSpPr>
      <cdr:spPr>
        <a:xfrm xmlns:a="http://schemas.openxmlformats.org/drawingml/2006/main">
          <a:off x="1063279" y="1252780"/>
          <a:ext cx="1488200" cy="359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491A7511-03C8-45B3-B2F9-37DBF03E71DF}" type="TxLink">
            <a:rPr lang="en-US" sz="1700" b="0" i="0" u="none" strike="noStrike">
              <a:solidFill>
                <a:schemeClr val="bg1"/>
              </a:solidFill>
              <a:latin typeface="Calibri"/>
            </a:rPr>
            <a:pPr algn="ctr"/>
            <a:t>lorem ipsum</a:t>
          </a:fld>
          <a:endParaRPr lang="en-GB" sz="1700">
            <a:solidFill>
              <a:schemeClr val="bg1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6</xdr:row>
      <xdr:rowOff>30480</xdr:rowOff>
    </xdr:from>
    <xdr:to>
      <xdr:col>16</xdr:col>
      <xdr:colOff>281940</xdr:colOff>
      <xdr:row>12</xdr:row>
      <xdr:rowOff>144780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480060</xdr:colOff>
      <xdr:row>12</xdr:row>
      <xdr:rowOff>60960</xdr:rowOff>
    </xdr:from>
    <xdr:to>
      <xdr:col>16</xdr:col>
      <xdr:colOff>261003</xdr:colOff>
      <xdr:row>13</xdr:row>
      <xdr:rowOff>43180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380988" y="2444496"/>
          <a:ext cx="6244608" cy="164719"/>
          <a:chOff x="20" y="-739"/>
          <a:chExt cx="9256" cy="261"/>
        </a:xfrm>
      </xdr:grpSpPr>
      <xdr:grpSp>
        <xdr:nvGrpSpPr>
          <xdr:cNvPr id="13" name="Group 12"/>
          <xdr:cNvGrpSpPr>
            <a:grpSpLocks/>
          </xdr:cNvGrpSpPr>
        </xdr:nvGrpSpPr>
        <xdr:grpSpPr bwMode="auto">
          <a:xfrm>
            <a:off x="20" y="-739"/>
            <a:ext cx="261" cy="261"/>
            <a:chOff x="20" y="-739"/>
            <a:chExt cx="261" cy="261"/>
          </a:xfrm>
        </xdr:grpSpPr>
        <xdr:sp macro="" textlink="">
          <xdr:nvSpPr>
            <xdr:cNvPr id="134" name="Freeform 133"/>
            <xdr:cNvSpPr>
              <a:spLocks/>
            </xdr:cNvSpPr>
          </xdr:nvSpPr>
          <xdr:spPr bwMode="auto">
            <a:xfrm>
              <a:off x="20" y="-739"/>
              <a:ext cx="261" cy="261"/>
            </a:xfrm>
            <a:custGeom>
              <a:avLst/>
              <a:gdLst>
                <a:gd name="T0" fmla="+- 0 280 20"/>
                <a:gd name="T1" fmla="*/ T0 w 261"/>
                <a:gd name="T2" fmla="+- 0 -739 -739"/>
                <a:gd name="T3" fmla="*/ -739 h 261"/>
                <a:gd name="T4" fmla="+- 0 20 20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14" name="Group 13"/>
          <xdr:cNvGrpSpPr>
            <a:grpSpLocks/>
          </xdr:cNvGrpSpPr>
        </xdr:nvGrpSpPr>
        <xdr:grpSpPr bwMode="auto">
          <a:xfrm>
            <a:off x="170" y="-739"/>
            <a:ext cx="261" cy="261"/>
            <a:chOff x="170" y="-739"/>
            <a:chExt cx="261" cy="261"/>
          </a:xfrm>
        </xdr:grpSpPr>
        <xdr:sp macro="" textlink="">
          <xdr:nvSpPr>
            <xdr:cNvPr id="133" name="Freeform 132"/>
            <xdr:cNvSpPr>
              <a:spLocks/>
            </xdr:cNvSpPr>
          </xdr:nvSpPr>
          <xdr:spPr bwMode="auto">
            <a:xfrm>
              <a:off x="170" y="-739"/>
              <a:ext cx="261" cy="261"/>
            </a:xfrm>
            <a:custGeom>
              <a:avLst/>
              <a:gdLst>
                <a:gd name="T0" fmla="+- 0 430 170"/>
                <a:gd name="T1" fmla="*/ T0 w 261"/>
                <a:gd name="T2" fmla="+- 0 -739 -739"/>
                <a:gd name="T3" fmla="*/ -739 h 261"/>
                <a:gd name="T4" fmla="+- 0 170 170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15" name="Group 14"/>
          <xdr:cNvGrpSpPr>
            <a:grpSpLocks/>
          </xdr:cNvGrpSpPr>
        </xdr:nvGrpSpPr>
        <xdr:grpSpPr bwMode="auto">
          <a:xfrm>
            <a:off x="320" y="-739"/>
            <a:ext cx="261" cy="261"/>
            <a:chOff x="320" y="-739"/>
            <a:chExt cx="261" cy="261"/>
          </a:xfrm>
        </xdr:grpSpPr>
        <xdr:sp macro="" textlink="">
          <xdr:nvSpPr>
            <xdr:cNvPr id="132" name="Freeform 131"/>
            <xdr:cNvSpPr>
              <a:spLocks/>
            </xdr:cNvSpPr>
          </xdr:nvSpPr>
          <xdr:spPr bwMode="auto">
            <a:xfrm>
              <a:off x="320" y="-739"/>
              <a:ext cx="261" cy="261"/>
            </a:xfrm>
            <a:custGeom>
              <a:avLst/>
              <a:gdLst>
                <a:gd name="T0" fmla="+- 0 580 320"/>
                <a:gd name="T1" fmla="*/ T0 w 261"/>
                <a:gd name="T2" fmla="+- 0 -739 -739"/>
                <a:gd name="T3" fmla="*/ -739 h 261"/>
                <a:gd name="T4" fmla="+- 0 320 320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16" name="Group 15"/>
          <xdr:cNvGrpSpPr>
            <a:grpSpLocks/>
          </xdr:cNvGrpSpPr>
        </xdr:nvGrpSpPr>
        <xdr:grpSpPr bwMode="auto">
          <a:xfrm>
            <a:off x="470" y="-739"/>
            <a:ext cx="261" cy="261"/>
            <a:chOff x="470" y="-739"/>
            <a:chExt cx="261" cy="261"/>
          </a:xfrm>
        </xdr:grpSpPr>
        <xdr:sp macro="" textlink="">
          <xdr:nvSpPr>
            <xdr:cNvPr id="131" name="Freeform 130"/>
            <xdr:cNvSpPr>
              <a:spLocks/>
            </xdr:cNvSpPr>
          </xdr:nvSpPr>
          <xdr:spPr bwMode="auto">
            <a:xfrm>
              <a:off x="470" y="-739"/>
              <a:ext cx="261" cy="261"/>
            </a:xfrm>
            <a:custGeom>
              <a:avLst/>
              <a:gdLst>
                <a:gd name="T0" fmla="+- 0 731 470"/>
                <a:gd name="T1" fmla="*/ T0 w 261"/>
                <a:gd name="T2" fmla="+- 0 -739 -739"/>
                <a:gd name="T3" fmla="*/ -739 h 261"/>
                <a:gd name="T4" fmla="+- 0 470 470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17" name="Group 16"/>
          <xdr:cNvGrpSpPr>
            <a:grpSpLocks/>
          </xdr:cNvGrpSpPr>
        </xdr:nvGrpSpPr>
        <xdr:grpSpPr bwMode="auto">
          <a:xfrm>
            <a:off x="620" y="-739"/>
            <a:ext cx="261" cy="261"/>
            <a:chOff x="620" y="-739"/>
            <a:chExt cx="261" cy="261"/>
          </a:xfrm>
        </xdr:grpSpPr>
        <xdr:sp macro="" textlink="">
          <xdr:nvSpPr>
            <xdr:cNvPr id="130" name="Freeform 129"/>
            <xdr:cNvSpPr>
              <a:spLocks/>
            </xdr:cNvSpPr>
          </xdr:nvSpPr>
          <xdr:spPr bwMode="auto">
            <a:xfrm>
              <a:off x="620" y="-739"/>
              <a:ext cx="261" cy="261"/>
            </a:xfrm>
            <a:custGeom>
              <a:avLst/>
              <a:gdLst>
                <a:gd name="T0" fmla="+- 0 881 620"/>
                <a:gd name="T1" fmla="*/ T0 w 261"/>
                <a:gd name="T2" fmla="+- 0 -739 -739"/>
                <a:gd name="T3" fmla="*/ -739 h 261"/>
                <a:gd name="T4" fmla="+- 0 620 620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18" name="Group 17"/>
          <xdr:cNvGrpSpPr>
            <a:grpSpLocks/>
          </xdr:cNvGrpSpPr>
        </xdr:nvGrpSpPr>
        <xdr:grpSpPr bwMode="auto">
          <a:xfrm>
            <a:off x="770" y="-739"/>
            <a:ext cx="261" cy="261"/>
            <a:chOff x="770" y="-739"/>
            <a:chExt cx="261" cy="261"/>
          </a:xfrm>
        </xdr:grpSpPr>
        <xdr:sp macro="" textlink="">
          <xdr:nvSpPr>
            <xdr:cNvPr id="129" name="Freeform 128"/>
            <xdr:cNvSpPr>
              <a:spLocks/>
            </xdr:cNvSpPr>
          </xdr:nvSpPr>
          <xdr:spPr bwMode="auto">
            <a:xfrm>
              <a:off x="770" y="-739"/>
              <a:ext cx="261" cy="261"/>
            </a:xfrm>
            <a:custGeom>
              <a:avLst/>
              <a:gdLst>
                <a:gd name="T0" fmla="+- 0 1031 770"/>
                <a:gd name="T1" fmla="*/ T0 w 261"/>
                <a:gd name="T2" fmla="+- 0 -739 -739"/>
                <a:gd name="T3" fmla="*/ -739 h 261"/>
                <a:gd name="T4" fmla="+- 0 770 770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19" name="Group 18"/>
          <xdr:cNvGrpSpPr>
            <a:grpSpLocks/>
          </xdr:cNvGrpSpPr>
        </xdr:nvGrpSpPr>
        <xdr:grpSpPr bwMode="auto">
          <a:xfrm>
            <a:off x="921" y="-739"/>
            <a:ext cx="261" cy="261"/>
            <a:chOff x="921" y="-739"/>
            <a:chExt cx="261" cy="261"/>
          </a:xfrm>
        </xdr:grpSpPr>
        <xdr:sp macro="" textlink="">
          <xdr:nvSpPr>
            <xdr:cNvPr id="128" name="Freeform 127"/>
            <xdr:cNvSpPr>
              <a:spLocks/>
            </xdr:cNvSpPr>
          </xdr:nvSpPr>
          <xdr:spPr bwMode="auto">
            <a:xfrm>
              <a:off x="921" y="-739"/>
              <a:ext cx="261" cy="261"/>
            </a:xfrm>
            <a:custGeom>
              <a:avLst/>
              <a:gdLst>
                <a:gd name="T0" fmla="+- 0 1181 921"/>
                <a:gd name="T1" fmla="*/ T0 w 261"/>
                <a:gd name="T2" fmla="+- 0 -739 -739"/>
                <a:gd name="T3" fmla="*/ -739 h 261"/>
                <a:gd name="T4" fmla="+- 0 921 921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20" name="Group 19"/>
          <xdr:cNvGrpSpPr>
            <a:grpSpLocks/>
          </xdr:cNvGrpSpPr>
        </xdr:nvGrpSpPr>
        <xdr:grpSpPr bwMode="auto">
          <a:xfrm>
            <a:off x="1071" y="-739"/>
            <a:ext cx="261" cy="261"/>
            <a:chOff x="1071" y="-739"/>
            <a:chExt cx="261" cy="261"/>
          </a:xfrm>
        </xdr:grpSpPr>
        <xdr:sp macro="" textlink="">
          <xdr:nvSpPr>
            <xdr:cNvPr id="127" name="Freeform 126"/>
            <xdr:cNvSpPr>
              <a:spLocks/>
            </xdr:cNvSpPr>
          </xdr:nvSpPr>
          <xdr:spPr bwMode="auto">
            <a:xfrm>
              <a:off x="1071" y="-739"/>
              <a:ext cx="261" cy="261"/>
            </a:xfrm>
            <a:custGeom>
              <a:avLst/>
              <a:gdLst>
                <a:gd name="T0" fmla="+- 0 1331 1071"/>
                <a:gd name="T1" fmla="*/ T0 w 261"/>
                <a:gd name="T2" fmla="+- 0 -739 -739"/>
                <a:gd name="T3" fmla="*/ -739 h 261"/>
                <a:gd name="T4" fmla="+- 0 1071 1071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21" name="Group 20"/>
          <xdr:cNvGrpSpPr>
            <a:grpSpLocks/>
          </xdr:cNvGrpSpPr>
        </xdr:nvGrpSpPr>
        <xdr:grpSpPr bwMode="auto">
          <a:xfrm>
            <a:off x="1221" y="-739"/>
            <a:ext cx="261" cy="261"/>
            <a:chOff x="1221" y="-739"/>
            <a:chExt cx="261" cy="261"/>
          </a:xfrm>
        </xdr:grpSpPr>
        <xdr:sp macro="" textlink="">
          <xdr:nvSpPr>
            <xdr:cNvPr id="126" name="Freeform 125"/>
            <xdr:cNvSpPr>
              <a:spLocks/>
            </xdr:cNvSpPr>
          </xdr:nvSpPr>
          <xdr:spPr bwMode="auto">
            <a:xfrm>
              <a:off x="1221" y="-739"/>
              <a:ext cx="261" cy="261"/>
            </a:xfrm>
            <a:custGeom>
              <a:avLst/>
              <a:gdLst>
                <a:gd name="T0" fmla="+- 0 1481 1221"/>
                <a:gd name="T1" fmla="*/ T0 w 261"/>
                <a:gd name="T2" fmla="+- 0 -739 -739"/>
                <a:gd name="T3" fmla="*/ -739 h 261"/>
                <a:gd name="T4" fmla="+- 0 1221 1221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22" name="Group 21"/>
          <xdr:cNvGrpSpPr>
            <a:grpSpLocks/>
          </xdr:cNvGrpSpPr>
        </xdr:nvGrpSpPr>
        <xdr:grpSpPr bwMode="auto">
          <a:xfrm>
            <a:off x="1371" y="-739"/>
            <a:ext cx="261" cy="261"/>
            <a:chOff x="1371" y="-739"/>
            <a:chExt cx="261" cy="261"/>
          </a:xfrm>
        </xdr:grpSpPr>
        <xdr:sp macro="" textlink="">
          <xdr:nvSpPr>
            <xdr:cNvPr id="125" name="Freeform 124"/>
            <xdr:cNvSpPr>
              <a:spLocks/>
            </xdr:cNvSpPr>
          </xdr:nvSpPr>
          <xdr:spPr bwMode="auto">
            <a:xfrm>
              <a:off x="1371" y="-739"/>
              <a:ext cx="261" cy="261"/>
            </a:xfrm>
            <a:custGeom>
              <a:avLst/>
              <a:gdLst>
                <a:gd name="T0" fmla="+- 0 1631 1371"/>
                <a:gd name="T1" fmla="*/ T0 w 261"/>
                <a:gd name="T2" fmla="+- 0 -739 -739"/>
                <a:gd name="T3" fmla="*/ -739 h 261"/>
                <a:gd name="T4" fmla="+- 0 1371 1371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23" name="Group 22"/>
          <xdr:cNvGrpSpPr>
            <a:grpSpLocks/>
          </xdr:cNvGrpSpPr>
        </xdr:nvGrpSpPr>
        <xdr:grpSpPr bwMode="auto">
          <a:xfrm>
            <a:off x="1521" y="-739"/>
            <a:ext cx="261" cy="261"/>
            <a:chOff x="1521" y="-739"/>
            <a:chExt cx="261" cy="261"/>
          </a:xfrm>
        </xdr:grpSpPr>
        <xdr:sp macro="" textlink="">
          <xdr:nvSpPr>
            <xdr:cNvPr id="124" name="Freeform 123"/>
            <xdr:cNvSpPr>
              <a:spLocks/>
            </xdr:cNvSpPr>
          </xdr:nvSpPr>
          <xdr:spPr bwMode="auto">
            <a:xfrm>
              <a:off x="1521" y="-739"/>
              <a:ext cx="261" cy="261"/>
            </a:xfrm>
            <a:custGeom>
              <a:avLst/>
              <a:gdLst>
                <a:gd name="T0" fmla="+- 0 1781 1521"/>
                <a:gd name="T1" fmla="*/ T0 w 261"/>
                <a:gd name="T2" fmla="+- 0 -739 -739"/>
                <a:gd name="T3" fmla="*/ -739 h 261"/>
                <a:gd name="T4" fmla="+- 0 1521 1521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24" name="Group 23"/>
          <xdr:cNvGrpSpPr>
            <a:grpSpLocks/>
          </xdr:cNvGrpSpPr>
        </xdr:nvGrpSpPr>
        <xdr:grpSpPr bwMode="auto">
          <a:xfrm>
            <a:off x="1671" y="-739"/>
            <a:ext cx="261" cy="261"/>
            <a:chOff x="1671" y="-739"/>
            <a:chExt cx="261" cy="261"/>
          </a:xfrm>
        </xdr:grpSpPr>
        <xdr:sp macro="" textlink="">
          <xdr:nvSpPr>
            <xdr:cNvPr id="123" name="Freeform 122"/>
            <xdr:cNvSpPr>
              <a:spLocks/>
            </xdr:cNvSpPr>
          </xdr:nvSpPr>
          <xdr:spPr bwMode="auto">
            <a:xfrm>
              <a:off x="1671" y="-739"/>
              <a:ext cx="261" cy="261"/>
            </a:xfrm>
            <a:custGeom>
              <a:avLst/>
              <a:gdLst>
                <a:gd name="T0" fmla="+- 0 1931 1671"/>
                <a:gd name="T1" fmla="*/ T0 w 261"/>
                <a:gd name="T2" fmla="+- 0 -739 -739"/>
                <a:gd name="T3" fmla="*/ -739 h 261"/>
                <a:gd name="T4" fmla="+- 0 1671 1671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25" name="Group 24"/>
          <xdr:cNvGrpSpPr>
            <a:grpSpLocks/>
          </xdr:cNvGrpSpPr>
        </xdr:nvGrpSpPr>
        <xdr:grpSpPr bwMode="auto">
          <a:xfrm>
            <a:off x="1821" y="-739"/>
            <a:ext cx="261" cy="261"/>
            <a:chOff x="1821" y="-739"/>
            <a:chExt cx="261" cy="261"/>
          </a:xfrm>
        </xdr:grpSpPr>
        <xdr:sp macro="" textlink="">
          <xdr:nvSpPr>
            <xdr:cNvPr id="122" name="Freeform 121"/>
            <xdr:cNvSpPr>
              <a:spLocks/>
            </xdr:cNvSpPr>
          </xdr:nvSpPr>
          <xdr:spPr bwMode="auto">
            <a:xfrm>
              <a:off x="1821" y="-739"/>
              <a:ext cx="261" cy="261"/>
            </a:xfrm>
            <a:custGeom>
              <a:avLst/>
              <a:gdLst>
                <a:gd name="T0" fmla="+- 0 2082 1821"/>
                <a:gd name="T1" fmla="*/ T0 w 261"/>
                <a:gd name="T2" fmla="+- 0 -739 -739"/>
                <a:gd name="T3" fmla="*/ -739 h 261"/>
                <a:gd name="T4" fmla="+- 0 1821 1821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26" name="Group 25"/>
          <xdr:cNvGrpSpPr>
            <a:grpSpLocks/>
          </xdr:cNvGrpSpPr>
        </xdr:nvGrpSpPr>
        <xdr:grpSpPr bwMode="auto">
          <a:xfrm>
            <a:off x="1971" y="-739"/>
            <a:ext cx="261" cy="261"/>
            <a:chOff x="1971" y="-739"/>
            <a:chExt cx="261" cy="261"/>
          </a:xfrm>
        </xdr:grpSpPr>
        <xdr:sp macro="" textlink="">
          <xdr:nvSpPr>
            <xdr:cNvPr id="121" name="Freeform 120"/>
            <xdr:cNvSpPr>
              <a:spLocks/>
            </xdr:cNvSpPr>
          </xdr:nvSpPr>
          <xdr:spPr bwMode="auto">
            <a:xfrm>
              <a:off x="1971" y="-739"/>
              <a:ext cx="261" cy="261"/>
            </a:xfrm>
            <a:custGeom>
              <a:avLst/>
              <a:gdLst>
                <a:gd name="T0" fmla="+- 0 2232 1971"/>
                <a:gd name="T1" fmla="*/ T0 w 261"/>
                <a:gd name="T2" fmla="+- 0 -739 -739"/>
                <a:gd name="T3" fmla="*/ -739 h 261"/>
                <a:gd name="T4" fmla="+- 0 1971 1971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27" name="Group 26"/>
          <xdr:cNvGrpSpPr>
            <a:grpSpLocks/>
          </xdr:cNvGrpSpPr>
        </xdr:nvGrpSpPr>
        <xdr:grpSpPr bwMode="auto">
          <a:xfrm>
            <a:off x="2121" y="-739"/>
            <a:ext cx="261" cy="261"/>
            <a:chOff x="2121" y="-739"/>
            <a:chExt cx="261" cy="261"/>
          </a:xfrm>
        </xdr:grpSpPr>
        <xdr:sp macro="" textlink="">
          <xdr:nvSpPr>
            <xdr:cNvPr id="120" name="Freeform 119"/>
            <xdr:cNvSpPr>
              <a:spLocks/>
            </xdr:cNvSpPr>
          </xdr:nvSpPr>
          <xdr:spPr bwMode="auto">
            <a:xfrm>
              <a:off x="2121" y="-739"/>
              <a:ext cx="261" cy="261"/>
            </a:xfrm>
            <a:custGeom>
              <a:avLst/>
              <a:gdLst>
                <a:gd name="T0" fmla="+- 0 2382 2121"/>
                <a:gd name="T1" fmla="*/ T0 w 261"/>
                <a:gd name="T2" fmla="+- 0 -739 -739"/>
                <a:gd name="T3" fmla="*/ -739 h 261"/>
                <a:gd name="T4" fmla="+- 0 2121 2121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28" name="Group 27"/>
          <xdr:cNvGrpSpPr>
            <a:grpSpLocks/>
          </xdr:cNvGrpSpPr>
        </xdr:nvGrpSpPr>
        <xdr:grpSpPr bwMode="auto">
          <a:xfrm>
            <a:off x="2272" y="-739"/>
            <a:ext cx="261" cy="261"/>
            <a:chOff x="2272" y="-739"/>
            <a:chExt cx="261" cy="261"/>
          </a:xfrm>
        </xdr:grpSpPr>
        <xdr:sp macro="" textlink="">
          <xdr:nvSpPr>
            <xdr:cNvPr id="119" name="Freeform 118"/>
            <xdr:cNvSpPr>
              <a:spLocks/>
            </xdr:cNvSpPr>
          </xdr:nvSpPr>
          <xdr:spPr bwMode="auto">
            <a:xfrm>
              <a:off x="2272" y="-739"/>
              <a:ext cx="261" cy="261"/>
            </a:xfrm>
            <a:custGeom>
              <a:avLst/>
              <a:gdLst>
                <a:gd name="T0" fmla="+- 0 2532 2272"/>
                <a:gd name="T1" fmla="*/ T0 w 261"/>
                <a:gd name="T2" fmla="+- 0 -739 -739"/>
                <a:gd name="T3" fmla="*/ -739 h 261"/>
                <a:gd name="T4" fmla="+- 0 2272 2272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29" name="Group 28"/>
          <xdr:cNvGrpSpPr>
            <a:grpSpLocks/>
          </xdr:cNvGrpSpPr>
        </xdr:nvGrpSpPr>
        <xdr:grpSpPr bwMode="auto">
          <a:xfrm>
            <a:off x="2422" y="-739"/>
            <a:ext cx="261" cy="261"/>
            <a:chOff x="2422" y="-739"/>
            <a:chExt cx="261" cy="261"/>
          </a:xfrm>
        </xdr:grpSpPr>
        <xdr:sp macro="" textlink="">
          <xdr:nvSpPr>
            <xdr:cNvPr id="118" name="Freeform 117"/>
            <xdr:cNvSpPr>
              <a:spLocks/>
            </xdr:cNvSpPr>
          </xdr:nvSpPr>
          <xdr:spPr bwMode="auto">
            <a:xfrm>
              <a:off x="2422" y="-739"/>
              <a:ext cx="261" cy="261"/>
            </a:xfrm>
            <a:custGeom>
              <a:avLst/>
              <a:gdLst>
                <a:gd name="T0" fmla="+- 0 2682 2422"/>
                <a:gd name="T1" fmla="*/ T0 w 261"/>
                <a:gd name="T2" fmla="+- 0 -739 -739"/>
                <a:gd name="T3" fmla="*/ -739 h 261"/>
                <a:gd name="T4" fmla="+- 0 2422 2422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30" name="Group 29"/>
          <xdr:cNvGrpSpPr>
            <a:grpSpLocks/>
          </xdr:cNvGrpSpPr>
        </xdr:nvGrpSpPr>
        <xdr:grpSpPr bwMode="auto">
          <a:xfrm>
            <a:off x="2572" y="-739"/>
            <a:ext cx="261" cy="261"/>
            <a:chOff x="2572" y="-739"/>
            <a:chExt cx="261" cy="261"/>
          </a:xfrm>
        </xdr:grpSpPr>
        <xdr:sp macro="" textlink="">
          <xdr:nvSpPr>
            <xdr:cNvPr id="117" name="Freeform 116"/>
            <xdr:cNvSpPr>
              <a:spLocks/>
            </xdr:cNvSpPr>
          </xdr:nvSpPr>
          <xdr:spPr bwMode="auto">
            <a:xfrm>
              <a:off x="2572" y="-739"/>
              <a:ext cx="261" cy="261"/>
            </a:xfrm>
            <a:custGeom>
              <a:avLst/>
              <a:gdLst>
                <a:gd name="T0" fmla="+- 0 2832 2572"/>
                <a:gd name="T1" fmla="*/ T0 w 261"/>
                <a:gd name="T2" fmla="+- 0 -739 -739"/>
                <a:gd name="T3" fmla="*/ -739 h 261"/>
                <a:gd name="T4" fmla="+- 0 2572 2572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31" name="Group 30"/>
          <xdr:cNvGrpSpPr>
            <a:grpSpLocks/>
          </xdr:cNvGrpSpPr>
        </xdr:nvGrpSpPr>
        <xdr:grpSpPr bwMode="auto">
          <a:xfrm>
            <a:off x="2722" y="-739"/>
            <a:ext cx="261" cy="261"/>
            <a:chOff x="2722" y="-739"/>
            <a:chExt cx="261" cy="261"/>
          </a:xfrm>
        </xdr:grpSpPr>
        <xdr:sp macro="" textlink="">
          <xdr:nvSpPr>
            <xdr:cNvPr id="116" name="Freeform 115"/>
            <xdr:cNvSpPr>
              <a:spLocks/>
            </xdr:cNvSpPr>
          </xdr:nvSpPr>
          <xdr:spPr bwMode="auto">
            <a:xfrm>
              <a:off x="2722" y="-739"/>
              <a:ext cx="261" cy="261"/>
            </a:xfrm>
            <a:custGeom>
              <a:avLst/>
              <a:gdLst>
                <a:gd name="T0" fmla="+- 0 2982 2722"/>
                <a:gd name="T1" fmla="*/ T0 w 261"/>
                <a:gd name="T2" fmla="+- 0 -739 -739"/>
                <a:gd name="T3" fmla="*/ -739 h 261"/>
                <a:gd name="T4" fmla="+- 0 2722 2722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32" name="Group 31"/>
          <xdr:cNvGrpSpPr>
            <a:grpSpLocks/>
          </xdr:cNvGrpSpPr>
        </xdr:nvGrpSpPr>
        <xdr:grpSpPr bwMode="auto">
          <a:xfrm>
            <a:off x="2872" y="-739"/>
            <a:ext cx="261" cy="261"/>
            <a:chOff x="2872" y="-739"/>
            <a:chExt cx="261" cy="261"/>
          </a:xfrm>
        </xdr:grpSpPr>
        <xdr:sp macro="" textlink="">
          <xdr:nvSpPr>
            <xdr:cNvPr id="115" name="Freeform 114"/>
            <xdr:cNvSpPr>
              <a:spLocks/>
            </xdr:cNvSpPr>
          </xdr:nvSpPr>
          <xdr:spPr bwMode="auto">
            <a:xfrm>
              <a:off x="2872" y="-739"/>
              <a:ext cx="261" cy="261"/>
            </a:xfrm>
            <a:custGeom>
              <a:avLst/>
              <a:gdLst>
                <a:gd name="T0" fmla="+- 0 3132 2872"/>
                <a:gd name="T1" fmla="*/ T0 w 261"/>
                <a:gd name="T2" fmla="+- 0 -739 -739"/>
                <a:gd name="T3" fmla="*/ -739 h 261"/>
                <a:gd name="T4" fmla="+- 0 2872 2872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33" name="Group 32"/>
          <xdr:cNvGrpSpPr>
            <a:grpSpLocks/>
          </xdr:cNvGrpSpPr>
        </xdr:nvGrpSpPr>
        <xdr:grpSpPr bwMode="auto">
          <a:xfrm>
            <a:off x="3022" y="-739"/>
            <a:ext cx="261" cy="261"/>
            <a:chOff x="3022" y="-739"/>
            <a:chExt cx="261" cy="261"/>
          </a:xfrm>
        </xdr:grpSpPr>
        <xdr:sp macro="" textlink="">
          <xdr:nvSpPr>
            <xdr:cNvPr id="114" name="Freeform 113"/>
            <xdr:cNvSpPr>
              <a:spLocks/>
            </xdr:cNvSpPr>
          </xdr:nvSpPr>
          <xdr:spPr bwMode="auto">
            <a:xfrm>
              <a:off x="3022" y="-739"/>
              <a:ext cx="261" cy="261"/>
            </a:xfrm>
            <a:custGeom>
              <a:avLst/>
              <a:gdLst>
                <a:gd name="T0" fmla="+- 0 3283 3022"/>
                <a:gd name="T1" fmla="*/ T0 w 261"/>
                <a:gd name="T2" fmla="+- 0 -739 -739"/>
                <a:gd name="T3" fmla="*/ -739 h 261"/>
                <a:gd name="T4" fmla="+- 0 3022 3022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34" name="Group 33"/>
          <xdr:cNvGrpSpPr>
            <a:grpSpLocks/>
          </xdr:cNvGrpSpPr>
        </xdr:nvGrpSpPr>
        <xdr:grpSpPr bwMode="auto">
          <a:xfrm>
            <a:off x="3172" y="-739"/>
            <a:ext cx="261" cy="261"/>
            <a:chOff x="3172" y="-739"/>
            <a:chExt cx="261" cy="261"/>
          </a:xfrm>
        </xdr:grpSpPr>
        <xdr:sp macro="" textlink="">
          <xdr:nvSpPr>
            <xdr:cNvPr id="113" name="Freeform 112"/>
            <xdr:cNvSpPr>
              <a:spLocks/>
            </xdr:cNvSpPr>
          </xdr:nvSpPr>
          <xdr:spPr bwMode="auto">
            <a:xfrm>
              <a:off x="3172" y="-739"/>
              <a:ext cx="261" cy="261"/>
            </a:xfrm>
            <a:custGeom>
              <a:avLst/>
              <a:gdLst>
                <a:gd name="T0" fmla="+- 0 3433 3172"/>
                <a:gd name="T1" fmla="*/ T0 w 261"/>
                <a:gd name="T2" fmla="+- 0 -739 -739"/>
                <a:gd name="T3" fmla="*/ -739 h 261"/>
                <a:gd name="T4" fmla="+- 0 3172 3172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35" name="Group 34"/>
          <xdr:cNvGrpSpPr>
            <a:grpSpLocks/>
          </xdr:cNvGrpSpPr>
        </xdr:nvGrpSpPr>
        <xdr:grpSpPr bwMode="auto">
          <a:xfrm>
            <a:off x="3322" y="-739"/>
            <a:ext cx="261" cy="261"/>
            <a:chOff x="3322" y="-739"/>
            <a:chExt cx="261" cy="261"/>
          </a:xfrm>
        </xdr:grpSpPr>
        <xdr:sp macro="" textlink="">
          <xdr:nvSpPr>
            <xdr:cNvPr id="112" name="Freeform 111"/>
            <xdr:cNvSpPr>
              <a:spLocks/>
            </xdr:cNvSpPr>
          </xdr:nvSpPr>
          <xdr:spPr bwMode="auto">
            <a:xfrm>
              <a:off x="3322" y="-739"/>
              <a:ext cx="261" cy="261"/>
            </a:xfrm>
            <a:custGeom>
              <a:avLst/>
              <a:gdLst>
                <a:gd name="T0" fmla="+- 0 3583 3322"/>
                <a:gd name="T1" fmla="*/ T0 w 261"/>
                <a:gd name="T2" fmla="+- 0 -739 -739"/>
                <a:gd name="T3" fmla="*/ -739 h 261"/>
                <a:gd name="T4" fmla="+- 0 3322 3322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36" name="Group 35"/>
          <xdr:cNvGrpSpPr>
            <a:grpSpLocks/>
          </xdr:cNvGrpSpPr>
        </xdr:nvGrpSpPr>
        <xdr:grpSpPr bwMode="auto">
          <a:xfrm>
            <a:off x="3473" y="-739"/>
            <a:ext cx="261" cy="261"/>
            <a:chOff x="3473" y="-739"/>
            <a:chExt cx="261" cy="261"/>
          </a:xfrm>
        </xdr:grpSpPr>
        <xdr:sp macro="" textlink="">
          <xdr:nvSpPr>
            <xdr:cNvPr id="111" name="Freeform 110"/>
            <xdr:cNvSpPr>
              <a:spLocks/>
            </xdr:cNvSpPr>
          </xdr:nvSpPr>
          <xdr:spPr bwMode="auto">
            <a:xfrm>
              <a:off x="3473" y="-739"/>
              <a:ext cx="261" cy="261"/>
            </a:xfrm>
            <a:custGeom>
              <a:avLst/>
              <a:gdLst>
                <a:gd name="T0" fmla="+- 0 3733 3473"/>
                <a:gd name="T1" fmla="*/ T0 w 261"/>
                <a:gd name="T2" fmla="+- 0 -739 -739"/>
                <a:gd name="T3" fmla="*/ -739 h 261"/>
                <a:gd name="T4" fmla="+- 0 3473 3473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37" name="Group 36"/>
          <xdr:cNvGrpSpPr>
            <a:grpSpLocks/>
          </xdr:cNvGrpSpPr>
        </xdr:nvGrpSpPr>
        <xdr:grpSpPr bwMode="auto">
          <a:xfrm>
            <a:off x="3623" y="-739"/>
            <a:ext cx="261" cy="261"/>
            <a:chOff x="3623" y="-739"/>
            <a:chExt cx="261" cy="261"/>
          </a:xfrm>
        </xdr:grpSpPr>
        <xdr:sp macro="" textlink="">
          <xdr:nvSpPr>
            <xdr:cNvPr id="110" name="Freeform 109"/>
            <xdr:cNvSpPr>
              <a:spLocks/>
            </xdr:cNvSpPr>
          </xdr:nvSpPr>
          <xdr:spPr bwMode="auto">
            <a:xfrm>
              <a:off x="3623" y="-739"/>
              <a:ext cx="261" cy="261"/>
            </a:xfrm>
            <a:custGeom>
              <a:avLst/>
              <a:gdLst>
                <a:gd name="T0" fmla="+- 0 3883 3623"/>
                <a:gd name="T1" fmla="*/ T0 w 261"/>
                <a:gd name="T2" fmla="+- 0 -739 -739"/>
                <a:gd name="T3" fmla="*/ -739 h 261"/>
                <a:gd name="T4" fmla="+- 0 3623 3623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38" name="Group 37"/>
          <xdr:cNvGrpSpPr>
            <a:grpSpLocks/>
          </xdr:cNvGrpSpPr>
        </xdr:nvGrpSpPr>
        <xdr:grpSpPr bwMode="auto">
          <a:xfrm>
            <a:off x="3773" y="-739"/>
            <a:ext cx="261" cy="261"/>
            <a:chOff x="3773" y="-739"/>
            <a:chExt cx="261" cy="261"/>
          </a:xfrm>
        </xdr:grpSpPr>
        <xdr:sp macro="" textlink="">
          <xdr:nvSpPr>
            <xdr:cNvPr id="109" name="Freeform 108"/>
            <xdr:cNvSpPr>
              <a:spLocks/>
            </xdr:cNvSpPr>
          </xdr:nvSpPr>
          <xdr:spPr bwMode="auto">
            <a:xfrm>
              <a:off x="3773" y="-739"/>
              <a:ext cx="261" cy="261"/>
            </a:xfrm>
            <a:custGeom>
              <a:avLst/>
              <a:gdLst>
                <a:gd name="T0" fmla="+- 0 4033 3773"/>
                <a:gd name="T1" fmla="*/ T0 w 261"/>
                <a:gd name="T2" fmla="+- 0 -739 -739"/>
                <a:gd name="T3" fmla="*/ -739 h 261"/>
                <a:gd name="T4" fmla="+- 0 3773 3773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39" name="Group 38"/>
          <xdr:cNvGrpSpPr>
            <a:grpSpLocks/>
          </xdr:cNvGrpSpPr>
        </xdr:nvGrpSpPr>
        <xdr:grpSpPr bwMode="auto">
          <a:xfrm>
            <a:off x="3923" y="-739"/>
            <a:ext cx="261" cy="261"/>
            <a:chOff x="3923" y="-739"/>
            <a:chExt cx="261" cy="261"/>
          </a:xfrm>
        </xdr:grpSpPr>
        <xdr:sp macro="" textlink="">
          <xdr:nvSpPr>
            <xdr:cNvPr id="108" name="Freeform 107"/>
            <xdr:cNvSpPr>
              <a:spLocks/>
            </xdr:cNvSpPr>
          </xdr:nvSpPr>
          <xdr:spPr bwMode="auto">
            <a:xfrm>
              <a:off x="3923" y="-739"/>
              <a:ext cx="261" cy="261"/>
            </a:xfrm>
            <a:custGeom>
              <a:avLst/>
              <a:gdLst>
                <a:gd name="T0" fmla="+- 0 4183 3923"/>
                <a:gd name="T1" fmla="*/ T0 w 261"/>
                <a:gd name="T2" fmla="+- 0 -739 -739"/>
                <a:gd name="T3" fmla="*/ -739 h 261"/>
                <a:gd name="T4" fmla="+- 0 3923 3923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40" name="Group 39"/>
          <xdr:cNvGrpSpPr>
            <a:grpSpLocks/>
          </xdr:cNvGrpSpPr>
        </xdr:nvGrpSpPr>
        <xdr:grpSpPr bwMode="auto">
          <a:xfrm>
            <a:off x="4073" y="-739"/>
            <a:ext cx="261" cy="261"/>
            <a:chOff x="4073" y="-739"/>
            <a:chExt cx="261" cy="261"/>
          </a:xfrm>
        </xdr:grpSpPr>
        <xdr:sp macro="" textlink="">
          <xdr:nvSpPr>
            <xdr:cNvPr id="107" name="Freeform 106"/>
            <xdr:cNvSpPr>
              <a:spLocks/>
            </xdr:cNvSpPr>
          </xdr:nvSpPr>
          <xdr:spPr bwMode="auto">
            <a:xfrm>
              <a:off x="4073" y="-739"/>
              <a:ext cx="261" cy="261"/>
            </a:xfrm>
            <a:custGeom>
              <a:avLst/>
              <a:gdLst>
                <a:gd name="T0" fmla="+- 0 4333 4073"/>
                <a:gd name="T1" fmla="*/ T0 w 261"/>
                <a:gd name="T2" fmla="+- 0 -739 -739"/>
                <a:gd name="T3" fmla="*/ -739 h 261"/>
                <a:gd name="T4" fmla="+- 0 4073 4073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41" name="Group 40"/>
          <xdr:cNvGrpSpPr>
            <a:grpSpLocks/>
          </xdr:cNvGrpSpPr>
        </xdr:nvGrpSpPr>
        <xdr:grpSpPr bwMode="auto">
          <a:xfrm>
            <a:off x="4223" y="-739"/>
            <a:ext cx="261" cy="261"/>
            <a:chOff x="4223" y="-739"/>
            <a:chExt cx="261" cy="261"/>
          </a:xfrm>
        </xdr:grpSpPr>
        <xdr:sp macro="" textlink="">
          <xdr:nvSpPr>
            <xdr:cNvPr id="106" name="Freeform 105"/>
            <xdr:cNvSpPr>
              <a:spLocks/>
            </xdr:cNvSpPr>
          </xdr:nvSpPr>
          <xdr:spPr bwMode="auto">
            <a:xfrm>
              <a:off x="4223" y="-739"/>
              <a:ext cx="261" cy="261"/>
            </a:xfrm>
            <a:custGeom>
              <a:avLst/>
              <a:gdLst>
                <a:gd name="T0" fmla="+- 0 4483 4223"/>
                <a:gd name="T1" fmla="*/ T0 w 261"/>
                <a:gd name="T2" fmla="+- 0 -739 -739"/>
                <a:gd name="T3" fmla="*/ -739 h 261"/>
                <a:gd name="T4" fmla="+- 0 4223 4223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42" name="Group 41"/>
          <xdr:cNvGrpSpPr>
            <a:grpSpLocks/>
          </xdr:cNvGrpSpPr>
        </xdr:nvGrpSpPr>
        <xdr:grpSpPr bwMode="auto">
          <a:xfrm>
            <a:off x="4373" y="-739"/>
            <a:ext cx="261" cy="261"/>
            <a:chOff x="4373" y="-739"/>
            <a:chExt cx="261" cy="261"/>
          </a:xfrm>
        </xdr:grpSpPr>
        <xdr:sp macro="" textlink="">
          <xdr:nvSpPr>
            <xdr:cNvPr id="105" name="Freeform 104"/>
            <xdr:cNvSpPr>
              <a:spLocks/>
            </xdr:cNvSpPr>
          </xdr:nvSpPr>
          <xdr:spPr bwMode="auto">
            <a:xfrm>
              <a:off x="4373" y="-739"/>
              <a:ext cx="261" cy="261"/>
            </a:xfrm>
            <a:custGeom>
              <a:avLst/>
              <a:gdLst>
                <a:gd name="T0" fmla="+- 0 4634 4373"/>
                <a:gd name="T1" fmla="*/ T0 w 261"/>
                <a:gd name="T2" fmla="+- 0 -739 -739"/>
                <a:gd name="T3" fmla="*/ -739 h 261"/>
                <a:gd name="T4" fmla="+- 0 4373 4373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43" name="Group 42"/>
          <xdr:cNvGrpSpPr>
            <a:grpSpLocks/>
          </xdr:cNvGrpSpPr>
        </xdr:nvGrpSpPr>
        <xdr:grpSpPr bwMode="auto">
          <a:xfrm>
            <a:off x="4523" y="-739"/>
            <a:ext cx="261" cy="261"/>
            <a:chOff x="4523" y="-739"/>
            <a:chExt cx="261" cy="261"/>
          </a:xfrm>
        </xdr:grpSpPr>
        <xdr:sp macro="" textlink="">
          <xdr:nvSpPr>
            <xdr:cNvPr id="104" name="Freeform 103"/>
            <xdr:cNvSpPr>
              <a:spLocks/>
            </xdr:cNvSpPr>
          </xdr:nvSpPr>
          <xdr:spPr bwMode="auto">
            <a:xfrm>
              <a:off x="4523" y="-739"/>
              <a:ext cx="261" cy="261"/>
            </a:xfrm>
            <a:custGeom>
              <a:avLst/>
              <a:gdLst>
                <a:gd name="T0" fmla="+- 0 4784 4523"/>
                <a:gd name="T1" fmla="*/ T0 w 261"/>
                <a:gd name="T2" fmla="+- 0 -739 -739"/>
                <a:gd name="T3" fmla="*/ -739 h 261"/>
                <a:gd name="T4" fmla="+- 0 4523 4523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44" name="Group 43"/>
          <xdr:cNvGrpSpPr>
            <a:grpSpLocks/>
          </xdr:cNvGrpSpPr>
        </xdr:nvGrpSpPr>
        <xdr:grpSpPr bwMode="auto">
          <a:xfrm>
            <a:off x="4674" y="-739"/>
            <a:ext cx="261" cy="261"/>
            <a:chOff x="4674" y="-739"/>
            <a:chExt cx="261" cy="261"/>
          </a:xfrm>
        </xdr:grpSpPr>
        <xdr:sp macro="" textlink="">
          <xdr:nvSpPr>
            <xdr:cNvPr id="103" name="Freeform 102"/>
            <xdr:cNvSpPr>
              <a:spLocks/>
            </xdr:cNvSpPr>
          </xdr:nvSpPr>
          <xdr:spPr bwMode="auto">
            <a:xfrm>
              <a:off x="4674" y="-739"/>
              <a:ext cx="261" cy="261"/>
            </a:xfrm>
            <a:custGeom>
              <a:avLst/>
              <a:gdLst>
                <a:gd name="T0" fmla="+- 0 4934 4674"/>
                <a:gd name="T1" fmla="*/ T0 w 261"/>
                <a:gd name="T2" fmla="+- 0 -739 -739"/>
                <a:gd name="T3" fmla="*/ -739 h 261"/>
                <a:gd name="T4" fmla="+- 0 4674 4674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45" name="Group 44"/>
          <xdr:cNvGrpSpPr>
            <a:grpSpLocks/>
          </xdr:cNvGrpSpPr>
        </xdr:nvGrpSpPr>
        <xdr:grpSpPr bwMode="auto">
          <a:xfrm>
            <a:off x="4824" y="-739"/>
            <a:ext cx="261" cy="261"/>
            <a:chOff x="4824" y="-739"/>
            <a:chExt cx="261" cy="261"/>
          </a:xfrm>
        </xdr:grpSpPr>
        <xdr:sp macro="" textlink="">
          <xdr:nvSpPr>
            <xdr:cNvPr id="102" name="Freeform 101"/>
            <xdr:cNvSpPr>
              <a:spLocks/>
            </xdr:cNvSpPr>
          </xdr:nvSpPr>
          <xdr:spPr bwMode="auto">
            <a:xfrm>
              <a:off x="4824" y="-739"/>
              <a:ext cx="261" cy="261"/>
            </a:xfrm>
            <a:custGeom>
              <a:avLst/>
              <a:gdLst>
                <a:gd name="T0" fmla="+- 0 5084 4824"/>
                <a:gd name="T1" fmla="*/ T0 w 261"/>
                <a:gd name="T2" fmla="+- 0 -739 -739"/>
                <a:gd name="T3" fmla="*/ -739 h 261"/>
                <a:gd name="T4" fmla="+- 0 4824 4824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46" name="Group 45"/>
          <xdr:cNvGrpSpPr>
            <a:grpSpLocks/>
          </xdr:cNvGrpSpPr>
        </xdr:nvGrpSpPr>
        <xdr:grpSpPr bwMode="auto">
          <a:xfrm>
            <a:off x="4974" y="-739"/>
            <a:ext cx="261" cy="261"/>
            <a:chOff x="4974" y="-739"/>
            <a:chExt cx="261" cy="261"/>
          </a:xfrm>
        </xdr:grpSpPr>
        <xdr:sp macro="" textlink="">
          <xdr:nvSpPr>
            <xdr:cNvPr id="101" name="Freeform 100"/>
            <xdr:cNvSpPr>
              <a:spLocks/>
            </xdr:cNvSpPr>
          </xdr:nvSpPr>
          <xdr:spPr bwMode="auto">
            <a:xfrm>
              <a:off x="4974" y="-739"/>
              <a:ext cx="261" cy="261"/>
            </a:xfrm>
            <a:custGeom>
              <a:avLst/>
              <a:gdLst>
                <a:gd name="T0" fmla="+- 0 5234 4974"/>
                <a:gd name="T1" fmla="*/ T0 w 261"/>
                <a:gd name="T2" fmla="+- 0 -739 -739"/>
                <a:gd name="T3" fmla="*/ -739 h 261"/>
                <a:gd name="T4" fmla="+- 0 4974 4974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47" name="Group 46"/>
          <xdr:cNvGrpSpPr>
            <a:grpSpLocks/>
          </xdr:cNvGrpSpPr>
        </xdr:nvGrpSpPr>
        <xdr:grpSpPr bwMode="auto">
          <a:xfrm>
            <a:off x="5124" y="-739"/>
            <a:ext cx="261" cy="261"/>
            <a:chOff x="5124" y="-739"/>
            <a:chExt cx="261" cy="261"/>
          </a:xfrm>
        </xdr:grpSpPr>
        <xdr:sp macro="" textlink="">
          <xdr:nvSpPr>
            <xdr:cNvPr id="100" name="Freeform 99"/>
            <xdr:cNvSpPr>
              <a:spLocks/>
            </xdr:cNvSpPr>
          </xdr:nvSpPr>
          <xdr:spPr bwMode="auto">
            <a:xfrm>
              <a:off x="5124" y="-739"/>
              <a:ext cx="261" cy="261"/>
            </a:xfrm>
            <a:custGeom>
              <a:avLst/>
              <a:gdLst>
                <a:gd name="T0" fmla="+- 0 5384 5124"/>
                <a:gd name="T1" fmla="*/ T0 w 261"/>
                <a:gd name="T2" fmla="+- 0 -739 -739"/>
                <a:gd name="T3" fmla="*/ -739 h 261"/>
                <a:gd name="T4" fmla="+- 0 5124 5124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48" name="Group 47"/>
          <xdr:cNvGrpSpPr>
            <a:grpSpLocks/>
          </xdr:cNvGrpSpPr>
        </xdr:nvGrpSpPr>
        <xdr:grpSpPr bwMode="auto">
          <a:xfrm>
            <a:off x="5274" y="-739"/>
            <a:ext cx="261" cy="261"/>
            <a:chOff x="5274" y="-739"/>
            <a:chExt cx="261" cy="261"/>
          </a:xfrm>
        </xdr:grpSpPr>
        <xdr:sp macro="" textlink="">
          <xdr:nvSpPr>
            <xdr:cNvPr id="99" name="Freeform 98"/>
            <xdr:cNvSpPr>
              <a:spLocks/>
            </xdr:cNvSpPr>
          </xdr:nvSpPr>
          <xdr:spPr bwMode="auto">
            <a:xfrm>
              <a:off x="5274" y="-739"/>
              <a:ext cx="261" cy="261"/>
            </a:xfrm>
            <a:custGeom>
              <a:avLst/>
              <a:gdLst>
                <a:gd name="T0" fmla="+- 0 5534 5274"/>
                <a:gd name="T1" fmla="*/ T0 w 261"/>
                <a:gd name="T2" fmla="+- 0 -739 -739"/>
                <a:gd name="T3" fmla="*/ -739 h 261"/>
                <a:gd name="T4" fmla="+- 0 5274 5274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49" name="Group 48"/>
          <xdr:cNvGrpSpPr>
            <a:grpSpLocks/>
          </xdr:cNvGrpSpPr>
        </xdr:nvGrpSpPr>
        <xdr:grpSpPr bwMode="auto">
          <a:xfrm>
            <a:off x="5424" y="-739"/>
            <a:ext cx="261" cy="261"/>
            <a:chOff x="5424" y="-739"/>
            <a:chExt cx="261" cy="261"/>
          </a:xfrm>
        </xdr:grpSpPr>
        <xdr:sp macro="" textlink="">
          <xdr:nvSpPr>
            <xdr:cNvPr id="98" name="Freeform 97"/>
            <xdr:cNvSpPr>
              <a:spLocks/>
            </xdr:cNvSpPr>
          </xdr:nvSpPr>
          <xdr:spPr bwMode="auto">
            <a:xfrm>
              <a:off x="5424" y="-739"/>
              <a:ext cx="261" cy="261"/>
            </a:xfrm>
            <a:custGeom>
              <a:avLst/>
              <a:gdLst>
                <a:gd name="T0" fmla="+- 0 5684 5424"/>
                <a:gd name="T1" fmla="*/ T0 w 261"/>
                <a:gd name="T2" fmla="+- 0 -739 -739"/>
                <a:gd name="T3" fmla="*/ -739 h 261"/>
                <a:gd name="T4" fmla="+- 0 5424 5424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50" name="Group 49"/>
          <xdr:cNvGrpSpPr>
            <a:grpSpLocks/>
          </xdr:cNvGrpSpPr>
        </xdr:nvGrpSpPr>
        <xdr:grpSpPr bwMode="auto">
          <a:xfrm>
            <a:off x="5574" y="-739"/>
            <a:ext cx="261" cy="261"/>
            <a:chOff x="5574" y="-739"/>
            <a:chExt cx="261" cy="261"/>
          </a:xfrm>
        </xdr:grpSpPr>
        <xdr:sp macro="" textlink="">
          <xdr:nvSpPr>
            <xdr:cNvPr id="97" name="Freeform 96"/>
            <xdr:cNvSpPr>
              <a:spLocks/>
            </xdr:cNvSpPr>
          </xdr:nvSpPr>
          <xdr:spPr bwMode="auto">
            <a:xfrm>
              <a:off x="5574" y="-739"/>
              <a:ext cx="261" cy="261"/>
            </a:xfrm>
            <a:custGeom>
              <a:avLst/>
              <a:gdLst>
                <a:gd name="T0" fmla="+- 0 5835 5574"/>
                <a:gd name="T1" fmla="*/ T0 w 261"/>
                <a:gd name="T2" fmla="+- 0 -739 -739"/>
                <a:gd name="T3" fmla="*/ -739 h 261"/>
                <a:gd name="T4" fmla="+- 0 5574 5574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51" name="Group 50"/>
          <xdr:cNvGrpSpPr>
            <a:grpSpLocks/>
          </xdr:cNvGrpSpPr>
        </xdr:nvGrpSpPr>
        <xdr:grpSpPr bwMode="auto">
          <a:xfrm>
            <a:off x="5724" y="-739"/>
            <a:ext cx="261" cy="261"/>
            <a:chOff x="5724" y="-739"/>
            <a:chExt cx="261" cy="261"/>
          </a:xfrm>
        </xdr:grpSpPr>
        <xdr:sp macro="" textlink="">
          <xdr:nvSpPr>
            <xdr:cNvPr id="96" name="Freeform 95"/>
            <xdr:cNvSpPr>
              <a:spLocks/>
            </xdr:cNvSpPr>
          </xdr:nvSpPr>
          <xdr:spPr bwMode="auto">
            <a:xfrm>
              <a:off x="5724" y="-739"/>
              <a:ext cx="261" cy="261"/>
            </a:xfrm>
            <a:custGeom>
              <a:avLst/>
              <a:gdLst>
                <a:gd name="T0" fmla="+- 0 5985 5724"/>
                <a:gd name="T1" fmla="*/ T0 w 261"/>
                <a:gd name="T2" fmla="+- 0 -739 -739"/>
                <a:gd name="T3" fmla="*/ -739 h 261"/>
                <a:gd name="T4" fmla="+- 0 5724 5724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52" name="Group 51"/>
          <xdr:cNvGrpSpPr>
            <a:grpSpLocks/>
          </xdr:cNvGrpSpPr>
        </xdr:nvGrpSpPr>
        <xdr:grpSpPr bwMode="auto">
          <a:xfrm>
            <a:off x="5874" y="-739"/>
            <a:ext cx="261" cy="261"/>
            <a:chOff x="5874" y="-739"/>
            <a:chExt cx="261" cy="261"/>
          </a:xfrm>
        </xdr:grpSpPr>
        <xdr:sp macro="" textlink="">
          <xdr:nvSpPr>
            <xdr:cNvPr id="95" name="Freeform 94"/>
            <xdr:cNvSpPr>
              <a:spLocks/>
            </xdr:cNvSpPr>
          </xdr:nvSpPr>
          <xdr:spPr bwMode="auto">
            <a:xfrm>
              <a:off x="5874" y="-739"/>
              <a:ext cx="261" cy="261"/>
            </a:xfrm>
            <a:custGeom>
              <a:avLst/>
              <a:gdLst>
                <a:gd name="T0" fmla="+- 0 6135 5874"/>
                <a:gd name="T1" fmla="*/ T0 w 261"/>
                <a:gd name="T2" fmla="+- 0 -739 -739"/>
                <a:gd name="T3" fmla="*/ -739 h 261"/>
                <a:gd name="T4" fmla="+- 0 5874 5874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53" name="Group 52"/>
          <xdr:cNvGrpSpPr>
            <a:grpSpLocks/>
          </xdr:cNvGrpSpPr>
        </xdr:nvGrpSpPr>
        <xdr:grpSpPr bwMode="auto">
          <a:xfrm>
            <a:off x="6025" y="-739"/>
            <a:ext cx="261" cy="261"/>
            <a:chOff x="6025" y="-739"/>
            <a:chExt cx="261" cy="261"/>
          </a:xfrm>
        </xdr:grpSpPr>
        <xdr:sp macro="" textlink="">
          <xdr:nvSpPr>
            <xdr:cNvPr id="94" name="Freeform 93"/>
            <xdr:cNvSpPr>
              <a:spLocks/>
            </xdr:cNvSpPr>
          </xdr:nvSpPr>
          <xdr:spPr bwMode="auto">
            <a:xfrm>
              <a:off x="6025" y="-739"/>
              <a:ext cx="261" cy="261"/>
            </a:xfrm>
            <a:custGeom>
              <a:avLst/>
              <a:gdLst>
                <a:gd name="T0" fmla="+- 0 6285 6025"/>
                <a:gd name="T1" fmla="*/ T0 w 261"/>
                <a:gd name="T2" fmla="+- 0 -739 -739"/>
                <a:gd name="T3" fmla="*/ -739 h 261"/>
                <a:gd name="T4" fmla="+- 0 6025 6025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54" name="Group 53"/>
          <xdr:cNvGrpSpPr>
            <a:grpSpLocks/>
          </xdr:cNvGrpSpPr>
        </xdr:nvGrpSpPr>
        <xdr:grpSpPr bwMode="auto">
          <a:xfrm>
            <a:off x="6175" y="-739"/>
            <a:ext cx="261" cy="261"/>
            <a:chOff x="6175" y="-739"/>
            <a:chExt cx="261" cy="261"/>
          </a:xfrm>
        </xdr:grpSpPr>
        <xdr:sp macro="" textlink="">
          <xdr:nvSpPr>
            <xdr:cNvPr id="93" name="Freeform 92"/>
            <xdr:cNvSpPr>
              <a:spLocks/>
            </xdr:cNvSpPr>
          </xdr:nvSpPr>
          <xdr:spPr bwMode="auto">
            <a:xfrm>
              <a:off x="6175" y="-739"/>
              <a:ext cx="261" cy="261"/>
            </a:xfrm>
            <a:custGeom>
              <a:avLst/>
              <a:gdLst>
                <a:gd name="T0" fmla="+- 0 6435 6175"/>
                <a:gd name="T1" fmla="*/ T0 w 261"/>
                <a:gd name="T2" fmla="+- 0 -739 -739"/>
                <a:gd name="T3" fmla="*/ -739 h 261"/>
                <a:gd name="T4" fmla="+- 0 6175 6175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55" name="Group 54"/>
          <xdr:cNvGrpSpPr>
            <a:grpSpLocks/>
          </xdr:cNvGrpSpPr>
        </xdr:nvGrpSpPr>
        <xdr:grpSpPr bwMode="auto">
          <a:xfrm>
            <a:off x="6325" y="-739"/>
            <a:ext cx="261" cy="261"/>
            <a:chOff x="6325" y="-739"/>
            <a:chExt cx="261" cy="261"/>
          </a:xfrm>
        </xdr:grpSpPr>
        <xdr:sp macro="" textlink="">
          <xdr:nvSpPr>
            <xdr:cNvPr id="92" name="Freeform 91"/>
            <xdr:cNvSpPr>
              <a:spLocks/>
            </xdr:cNvSpPr>
          </xdr:nvSpPr>
          <xdr:spPr bwMode="auto">
            <a:xfrm>
              <a:off x="6325" y="-739"/>
              <a:ext cx="261" cy="261"/>
            </a:xfrm>
            <a:custGeom>
              <a:avLst/>
              <a:gdLst>
                <a:gd name="T0" fmla="+- 0 6585 6325"/>
                <a:gd name="T1" fmla="*/ T0 w 261"/>
                <a:gd name="T2" fmla="+- 0 -739 -739"/>
                <a:gd name="T3" fmla="*/ -739 h 261"/>
                <a:gd name="T4" fmla="+- 0 6325 6325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56" name="Group 55"/>
          <xdr:cNvGrpSpPr>
            <a:grpSpLocks/>
          </xdr:cNvGrpSpPr>
        </xdr:nvGrpSpPr>
        <xdr:grpSpPr bwMode="auto">
          <a:xfrm>
            <a:off x="6475" y="-739"/>
            <a:ext cx="261" cy="261"/>
            <a:chOff x="6475" y="-739"/>
            <a:chExt cx="261" cy="261"/>
          </a:xfrm>
        </xdr:grpSpPr>
        <xdr:sp macro="" textlink="">
          <xdr:nvSpPr>
            <xdr:cNvPr id="91" name="Freeform 90"/>
            <xdr:cNvSpPr>
              <a:spLocks/>
            </xdr:cNvSpPr>
          </xdr:nvSpPr>
          <xdr:spPr bwMode="auto">
            <a:xfrm>
              <a:off x="6475" y="-739"/>
              <a:ext cx="261" cy="261"/>
            </a:xfrm>
            <a:custGeom>
              <a:avLst/>
              <a:gdLst>
                <a:gd name="T0" fmla="+- 0 6735 6475"/>
                <a:gd name="T1" fmla="*/ T0 w 261"/>
                <a:gd name="T2" fmla="+- 0 -739 -739"/>
                <a:gd name="T3" fmla="*/ -739 h 261"/>
                <a:gd name="T4" fmla="+- 0 6475 6475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57" name="Group 56"/>
          <xdr:cNvGrpSpPr>
            <a:grpSpLocks/>
          </xdr:cNvGrpSpPr>
        </xdr:nvGrpSpPr>
        <xdr:grpSpPr bwMode="auto">
          <a:xfrm>
            <a:off x="6625" y="-739"/>
            <a:ext cx="261" cy="261"/>
            <a:chOff x="6625" y="-739"/>
            <a:chExt cx="261" cy="261"/>
          </a:xfrm>
        </xdr:grpSpPr>
        <xdr:sp macro="" textlink="">
          <xdr:nvSpPr>
            <xdr:cNvPr id="90" name="Freeform 89"/>
            <xdr:cNvSpPr>
              <a:spLocks/>
            </xdr:cNvSpPr>
          </xdr:nvSpPr>
          <xdr:spPr bwMode="auto">
            <a:xfrm>
              <a:off x="6625" y="-739"/>
              <a:ext cx="261" cy="261"/>
            </a:xfrm>
            <a:custGeom>
              <a:avLst/>
              <a:gdLst>
                <a:gd name="T0" fmla="+- 0 6885 6625"/>
                <a:gd name="T1" fmla="*/ T0 w 261"/>
                <a:gd name="T2" fmla="+- 0 -739 -739"/>
                <a:gd name="T3" fmla="*/ -739 h 261"/>
                <a:gd name="T4" fmla="+- 0 6625 6625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58" name="Group 57"/>
          <xdr:cNvGrpSpPr>
            <a:grpSpLocks/>
          </xdr:cNvGrpSpPr>
        </xdr:nvGrpSpPr>
        <xdr:grpSpPr bwMode="auto">
          <a:xfrm>
            <a:off x="6775" y="-739"/>
            <a:ext cx="261" cy="261"/>
            <a:chOff x="6775" y="-739"/>
            <a:chExt cx="261" cy="261"/>
          </a:xfrm>
        </xdr:grpSpPr>
        <xdr:sp macro="" textlink="">
          <xdr:nvSpPr>
            <xdr:cNvPr id="89" name="Freeform 88"/>
            <xdr:cNvSpPr>
              <a:spLocks/>
            </xdr:cNvSpPr>
          </xdr:nvSpPr>
          <xdr:spPr bwMode="auto">
            <a:xfrm>
              <a:off x="6775" y="-739"/>
              <a:ext cx="261" cy="261"/>
            </a:xfrm>
            <a:custGeom>
              <a:avLst/>
              <a:gdLst>
                <a:gd name="T0" fmla="+- 0 7035 6775"/>
                <a:gd name="T1" fmla="*/ T0 w 261"/>
                <a:gd name="T2" fmla="+- 0 -739 -739"/>
                <a:gd name="T3" fmla="*/ -739 h 261"/>
                <a:gd name="T4" fmla="+- 0 6775 6775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59" name="Group 58"/>
          <xdr:cNvGrpSpPr>
            <a:grpSpLocks/>
          </xdr:cNvGrpSpPr>
        </xdr:nvGrpSpPr>
        <xdr:grpSpPr bwMode="auto">
          <a:xfrm>
            <a:off x="6925" y="-739"/>
            <a:ext cx="261" cy="261"/>
            <a:chOff x="6925" y="-739"/>
            <a:chExt cx="261" cy="261"/>
          </a:xfrm>
        </xdr:grpSpPr>
        <xdr:sp macro="" textlink="">
          <xdr:nvSpPr>
            <xdr:cNvPr id="88" name="Freeform 87"/>
            <xdr:cNvSpPr>
              <a:spLocks/>
            </xdr:cNvSpPr>
          </xdr:nvSpPr>
          <xdr:spPr bwMode="auto">
            <a:xfrm>
              <a:off x="6925" y="-739"/>
              <a:ext cx="261" cy="261"/>
            </a:xfrm>
            <a:custGeom>
              <a:avLst/>
              <a:gdLst>
                <a:gd name="T0" fmla="+- 0 7186 6925"/>
                <a:gd name="T1" fmla="*/ T0 w 261"/>
                <a:gd name="T2" fmla="+- 0 -739 -739"/>
                <a:gd name="T3" fmla="*/ -739 h 261"/>
                <a:gd name="T4" fmla="+- 0 6925 6925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60" name="Group 59"/>
          <xdr:cNvGrpSpPr>
            <a:grpSpLocks/>
          </xdr:cNvGrpSpPr>
        </xdr:nvGrpSpPr>
        <xdr:grpSpPr bwMode="auto">
          <a:xfrm>
            <a:off x="7075" y="-739"/>
            <a:ext cx="261" cy="261"/>
            <a:chOff x="7075" y="-739"/>
            <a:chExt cx="261" cy="261"/>
          </a:xfrm>
        </xdr:grpSpPr>
        <xdr:sp macro="" textlink="">
          <xdr:nvSpPr>
            <xdr:cNvPr id="87" name="Freeform 86"/>
            <xdr:cNvSpPr>
              <a:spLocks/>
            </xdr:cNvSpPr>
          </xdr:nvSpPr>
          <xdr:spPr bwMode="auto">
            <a:xfrm>
              <a:off x="7075" y="-739"/>
              <a:ext cx="261" cy="261"/>
            </a:xfrm>
            <a:custGeom>
              <a:avLst/>
              <a:gdLst>
                <a:gd name="T0" fmla="+- 0 7336 7075"/>
                <a:gd name="T1" fmla="*/ T0 w 261"/>
                <a:gd name="T2" fmla="+- 0 -739 -739"/>
                <a:gd name="T3" fmla="*/ -739 h 261"/>
                <a:gd name="T4" fmla="+- 0 7075 7075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61" name="Group 60"/>
          <xdr:cNvGrpSpPr>
            <a:grpSpLocks/>
          </xdr:cNvGrpSpPr>
        </xdr:nvGrpSpPr>
        <xdr:grpSpPr bwMode="auto">
          <a:xfrm>
            <a:off x="7226" y="-739"/>
            <a:ext cx="261" cy="261"/>
            <a:chOff x="7226" y="-739"/>
            <a:chExt cx="261" cy="261"/>
          </a:xfrm>
        </xdr:grpSpPr>
        <xdr:sp macro="" textlink="">
          <xdr:nvSpPr>
            <xdr:cNvPr id="86" name="Freeform 85"/>
            <xdr:cNvSpPr>
              <a:spLocks/>
            </xdr:cNvSpPr>
          </xdr:nvSpPr>
          <xdr:spPr bwMode="auto">
            <a:xfrm>
              <a:off x="7226" y="-739"/>
              <a:ext cx="261" cy="261"/>
            </a:xfrm>
            <a:custGeom>
              <a:avLst/>
              <a:gdLst>
                <a:gd name="T0" fmla="+- 0 7486 7226"/>
                <a:gd name="T1" fmla="*/ T0 w 261"/>
                <a:gd name="T2" fmla="+- 0 -739 -739"/>
                <a:gd name="T3" fmla="*/ -739 h 261"/>
                <a:gd name="T4" fmla="+- 0 7226 7226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62" name="Group 61"/>
          <xdr:cNvGrpSpPr>
            <a:grpSpLocks/>
          </xdr:cNvGrpSpPr>
        </xdr:nvGrpSpPr>
        <xdr:grpSpPr bwMode="auto">
          <a:xfrm>
            <a:off x="7376" y="-739"/>
            <a:ext cx="261" cy="261"/>
            <a:chOff x="7376" y="-739"/>
            <a:chExt cx="261" cy="261"/>
          </a:xfrm>
        </xdr:grpSpPr>
        <xdr:sp macro="" textlink="">
          <xdr:nvSpPr>
            <xdr:cNvPr id="85" name="Freeform 84"/>
            <xdr:cNvSpPr>
              <a:spLocks/>
            </xdr:cNvSpPr>
          </xdr:nvSpPr>
          <xdr:spPr bwMode="auto">
            <a:xfrm>
              <a:off x="7376" y="-739"/>
              <a:ext cx="261" cy="261"/>
            </a:xfrm>
            <a:custGeom>
              <a:avLst/>
              <a:gdLst>
                <a:gd name="T0" fmla="+- 0 7636 7376"/>
                <a:gd name="T1" fmla="*/ T0 w 261"/>
                <a:gd name="T2" fmla="+- 0 -739 -739"/>
                <a:gd name="T3" fmla="*/ -739 h 261"/>
                <a:gd name="T4" fmla="+- 0 7376 7376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63" name="Group 62"/>
          <xdr:cNvGrpSpPr>
            <a:grpSpLocks/>
          </xdr:cNvGrpSpPr>
        </xdr:nvGrpSpPr>
        <xdr:grpSpPr bwMode="auto">
          <a:xfrm>
            <a:off x="7526" y="-739"/>
            <a:ext cx="261" cy="261"/>
            <a:chOff x="7526" y="-739"/>
            <a:chExt cx="261" cy="261"/>
          </a:xfrm>
        </xdr:grpSpPr>
        <xdr:sp macro="" textlink="">
          <xdr:nvSpPr>
            <xdr:cNvPr id="84" name="Freeform 83"/>
            <xdr:cNvSpPr>
              <a:spLocks/>
            </xdr:cNvSpPr>
          </xdr:nvSpPr>
          <xdr:spPr bwMode="auto">
            <a:xfrm>
              <a:off x="7526" y="-739"/>
              <a:ext cx="261" cy="261"/>
            </a:xfrm>
            <a:custGeom>
              <a:avLst/>
              <a:gdLst>
                <a:gd name="T0" fmla="+- 0 7786 7526"/>
                <a:gd name="T1" fmla="*/ T0 w 261"/>
                <a:gd name="T2" fmla="+- 0 -739 -739"/>
                <a:gd name="T3" fmla="*/ -739 h 261"/>
                <a:gd name="T4" fmla="+- 0 7526 7526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64" name="Group 63"/>
          <xdr:cNvGrpSpPr>
            <a:grpSpLocks/>
          </xdr:cNvGrpSpPr>
        </xdr:nvGrpSpPr>
        <xdr:grpSpPr bwMode="auto">
          <a:xfrm>
            <a:off x="7676" y="-739"/>
            <a:ext cx="261" cy="261"/>
            <a:chOff x="7676" y="-739"/>
            <a:chExt cx="261" cy="261"/>
          </a:xfrm>
        </xdr:grpSpPr>
        <xdr:sp macro="" textlink="">
          <xdr:nvSpPr>
            <xdr:cNvPr id="83" name="Freeform 82"/>
            <xdr:cNvSpPr>
              <a:spLocks/>
            </xdr:cNvSpPr>
          </xdr:nvSpPr>
          <xdr:spPr bwMode="auto">
            <a:xfrm>
              <a:off x="7676" y="-739"/>
              <a:ext cx="261" cy="261"/>
            </a:xfrm>
            <a:custGeom>
              <a:avLst/>
              <a:gdLst>
                <a:gd name="T0" fmla="+- 0 7936 7676"/>
                <a:gd name="T1" fmla="*/ T0 w 261"/>
                <a:gd name="T2" fmla="+- 0 -739 -739"/>
                <a:gd name="T3" fmla="*/ -739 h 261"/>
                <a:gd name="T4" fmla="+- 0 7676 7676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65" name="Group 64"/>
          <xdr:cNvGrpSpPr>
            <a:grpSpLocks/>
          </xdr:cNvGrpSpPr>
        </xdr:nvGrpSpPr>
        <xdr:grpSpPr bwMode="auto">
          <a:xfrm>
            <a:off x="7826" y="-739"/>
            <a:ext cx="261" cy="261"/>
            <a:chOff x="7826" y="-739"/>
            <a:chExt cx="261" cy="261"/>
          </a:xfrm>
        </xdr:grpSpPr>
        <xdr:sp macro="" textlink="">
          <xdr:nvSpPr>
            <xdr:cNvPr id="82" name="Freeform 81"/>
            <xdr:cNvSpPr>
              <a:spLocks/>
            </xdr:cNvSpPr>
          </xdr:nvSpPr>
          <xdr:spPr bwMode="auto">
            <a:xfrm>
              <a:off x="7826" y="-739"/>
              <a:ext cx="261" cy="261"/>
            </a:xfrm>
            <a:custGeom>
              <a:avLst/>
              <a:gdLst>
                <a:gd name="T0" fmla="+- 0 8086 7826"/>
                <a:gd name="T1" fmla="*/ T0 w 261"/>
                <a:gd name="T2" fmla="+- 0 -739 -739"/>
                <a:gd name="T3" fmla="*/ -739 h 261"/>
                <a:gd name="T4" fmla="+- 0 7826 7826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66" name="Group 65"/>
          <xdr:cNvGrpSpPr>
            <a:grpSpLocks/>
          </xdr:cNvGrpSpPr>
        </xdr:nvGrpSpPr>
        <xdr:grpSpPr bwMode="auto">
          <a:xfrm>
            <a:off x="7976" y="-739"/>
            <a:ext cx="261" cy="261"/>
            <a:chOff x="7976" y="-739"/>
            <a:chExt cx="261" cy="261"/>
          </a:xfrm>
        </xdr:grpSpPr>
        <xdr:sp macro="" textlink="">
          <xdr:nvSpPr>
            <xdr:cNvPr id="81" name="Freeform 80"/>
            <xdr:cNvSpPr>
              <a:spLocks/>
            </xdr:cNvSpPr>
          </xdr:nvSpPr>
          <xdr:spPr bwMode="auto">
            <a:xfrm>
              <a:off x="7976" y="-739"/>
              <a:ext cx="261" cy="261"/>
            </a:xfrm>
            <a:custGeom>
              <a:avLst/>
              <a:gdLst>
                <a:gd name="T0" fmla="+- 0 8236 7976"/>
                <a:gd name="T1" fmla="*/ T0 w 261"/>
                <a:gd name="T2" fmla="+- 0 -739 -739"/>
                <a:gd name="T3" fmla="*/ -739 h 261"/>
                <a:gd name="T4" fmla="+- 0 7976 7976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67" name="Group 66"/>
          <xdr:cNvGrpSpPr>
            <a:grpSpLocks/>
          </xdr:cNvGrpSpPr>
        </xdr:nvGrpSpPr>
        <xdr:grpSpPr bwMode="auto">
          <a:xfrm>
            <a:off x="8126" y="-739"/>
            <a:ext cx="261" cy="261"/>
            <a:chOff x="8126" y="-739"/>
            <a:chExt cx="261" cy="261"/>
          </a:xfrm>
        </xdr:grpSpPr>
        <xdr:sp macro="" textlink="">
          <xdr:nvSpPr>
            <xdr:cNvPr id="80" name="Freeform 79"/>
            <xdr:cNvSpPr>
              <a:spLocks/>
            </xdr:cNvSpPr>
          </xdr:nvSpPr>
          <xdr:spPr bwMode="auto">
            <a:xfrm>
              <a:off x="8126" y="-739"/>
              <a:ext cx="261" cy="261"/>
            </a:xfrm>
            <a:custGeom>
              <a:avLst/>
              <a:gdLst>
                <a:gd name="T0" fmla="+- 0 8387 8126"/>
                <a:gd name="T1" fmla="*/ T0 w 261"/>
                <a:gd name="T2" fmla="+- 0 -739 -739"/>
                <a:gd name="T3" fmla="*/ -739 h 261"/>
                <a:gd name="T4" fmla="+- 0 8126 8126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68" name="Group 67"/>
          <xdr:cNvGrpSpPr>
            <a:grpSpLocks/>
          </xdr:cNvGrpSpPr>
        </xdr:nvGrpSpPr>
        <xdr:grpSpPr bwMode="auto">
          <a:xfrm>
            <a:off x="8276" y="-739"/>
            <a:ext cx="261" cy="261"/>
            <a:chOff x="8276" y="-739"/>
            <a:chExt cx="261" cy="261"/>
          </a:xfrm>
        </xdr:grpSpPr>
        <xdr:sp macro="" textlink="">
          <xdr:nvSpPr>
            <xdr:cNvPr id="79" name="Freeform 78"/>
            <xdr:cNvSpPr>
              <a:spLocks/>
            </xdr:cNvSpPr>
          </xdr:nvSpPr>
          <xdr:spPr bwMode="auto">
            <a:xfrm>
              <a:off x="8276" y="-739"/>
              <a:ext cx="261" cy="261"/>
            </a:xfrm>
            <a:custGeom>
              <a:avLst/>
              <a:gdLst>
                <a:gd name="T0" fmla="+- 0 8537 8276"/>
                <a:gd name="T1" fmla="*/ T0 w 261"/>
                <a:gd name="T2" fmla="+- 0 -739 -739"/>
                <a:gd name="T3" fmla="*/ -739 h 261"/>
                <a:gd name="T4" fmla="+- 0 8276 8276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69" name="Group 68"/>
          <xdr:cNvGrpSpPr>
            <a:grpSpLocks/>
          </xdr:cNvGrpSpPr>
        </xdr:nvGrpSpPr>
        <xdr:grpSpPr bwMode="auto">
          <a:xfrm>
            <a:off x="8426" y="-739"/>
            <a:ext cx="261" cy="261"/>
            <a:chOff x="8426" y="-739"/>
            <a:chExt cx="261" cy="261"/>
          </a:xfrm>
        </xdr:grpSpPr>
        <xdr:sp macro="" textlink="">
          <xdr:nvSpPr>
            <xdr:cNvPr id="78" name="Freeform 77"/>
            <xdr:cNvSpPr>
              <a:spLocks/>
            </xdr:cNvSpPr>
          </xdr:nvSpPr>
          <xdr:spPr bwMode="auto">
            <a:xfrm>
              <a:off x="8426" y="-739"/>
              <a:ext cx="261" cy="261"/>
            </a:xfrm>
            <a:custGeom>
              <a:avLst/>
              <a:gdLst>
                <a:gd name="T0" fmla="+- 0 8687 8426"/>
                <a:gd name="T1" fmla="*/ T0 w 261"/>
                <a:gd name="T2" fmla="+- 0 -739 -739"/>
                <a:gd name="T3" fmla="*/ -739 h 261"/>
                <a:gd name="T4" fmla="+- 0 8426 8426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1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70" name="Group 69"/>
          <xdr:cNvGrpSpPr>
            <a:grpSpLocks/>
          </xdr:cNvGrpSpPr>
        </xdr:nvGrpSpPr>
        <xdr:grpSpPr bwMode="auto">
          <a:xfrm>
            <a:off x="8577" y="-739"/>
            <a:ext cx="261" cy="261"/>
            <a:chOff x="8577" y="-739"/>
            <a:chExt cx="261" cy="261"/>
          </a:xfrm>
        </xdr:grpSpPr>
        <xdr:sp macro="" textlink="">
          <xdr:nvSpPr>
            <xdr:cNvPr id="77" name="Freeform 76"/>
            <xdr:cNvSpPr>
              <a:spLocks/>
            </xdr:cNvSpPr>
          </xdr:nvSpPr>
          <xdr:spPr bwMode="auto">
            <a:xfrm>
              <a:off x="8577" y="-739"/>
              <a:ext cx="261" cy="261"/>
            </a:xfrm>
            <a:custGeom>
              <a:avLst/>
              <a:gdLst>
                <a:gd name="T0" fmla="+- 0 8837 8577"/>
                <a:gd name="T1" fmla="*/ T0 w 261"/>
                <a:gd name="T2" fmla="+- 0 -739 -739"/>
                <a:gd name="T3" fmla="*/ -739 h 261"/>
                <a:gd name="T4" fmla="+- 0 8577 8577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71" name="Group 70"/>
          <xdr:cNvGrpSpPr>
            <a:grpSpLocks/>
          </xdr:cNvGrpSpPr>
        </xdr:nvGrpSpPr>
        <xdr:grpSpPr bwMode="auto">
          <a:xfrm>
            <a:off x="8727" y="-739"/>
            <a:ext cx="261" cy="261"/>
            <a:chOff x="8727" y="-739"/>
            <a:chExt cx="261" cy="261"/>
          </a:xfrm>
        </xdr:grpSpPr>
        <xdr:sp macro="" textlink="">
          <xdr:nvSpPr>
            <xdr:cNvPr id="76" name="Freeform 75"/>
            <xdr:cNvSpPr>
              <a:spLocks/>
            </xdr:cNvSpPr>
          </xdr:nvSpPr>
          <xdr:spPr bwMode="auto">
            <a:xfrm>
              <a:off x="8727" y="-739"/>
              <a:ext cx="261" cy="261"/>
            </a:xfrm>
            <a:custGeom>
              <a:avLst/>
              <a:gdLst>
                <a:gd name="T0" fmla="+- 0 8987 8727"/>
                <a:gd name="T1" fmla="*/ T0 w 261"/>
                <a:gd name="T2" fmla="+- 0 -739 -739"/>
                <a:gd name="T3" fmla="*/ -739 h 261"/>
                <a:gd name="T4" fmla="+- 0 8727 8727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72" name="Group 71"/>
          <xdr:cNvGrpSpPr>
            <a:grpSpLocks/>
          </xdr:cNvGrpSpPr>
        </xdr:nvGrpSpPr>
        <xdr:grpSpPr bwMode="auto">
          <a:xfrm>
            <a:off x="8877" y="-739"/>
            <a:ext cx="261" cy="261"/>
            <a:chOff x="8877" y="-739"/>
            <a:chExt cx="261" cy="261"/>
          </a:xfrm>
        </xdr:grpSpPr>
        <xdr:sp macro="" textlink="">
          <xdr:nvSpPr>
            <xdr:cNvPr id="75" name="Freeform 74"/>
            <xdr:cNvSpPr>
              <a:spLocks/>
            </xdr:cNvSpPr>
          </xdr:nvSpPr>
          <xdr:spPr bwMode="auto">
            <a:xfrm>
              <a:off x="8877" y="-739"/>
              <a:ext cx="261" cy="261"/>
            </a:xfrm>
            <a:custGeom>
              <a:avLst/>
              <a:gdLst>
                <a:gd name="T0" fmla="+- 0 9137 8877"/>
                <a:gd name="T1" fmla="*/ T0 w 261"/>
                <a:gd name="T2" fmla="+- 0 -739 -739"/>
                <a:gd name="T3" fmla="*/ -739 h 261"/>
                <a:gd name="T4" fmla="+- 0 8877 8877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73" name="Group 72"/>
          <xdr:cNvGrpSpPr>
            <a:grpSpLocks/>
          </xdr:cNvGrpSpPr>
        </xdr:nvGrpSpPr>
        <xdr:grpSpPr bwMode="auto">
          <a:xfrm>
            <a:off x="9015" y="-739"/>
            <a:ext cx="261" cy="261"/>
            <a:chOff x="9015" y="-739"/>
            <a:chExt cx="261" cy="261"/>
          </a:xfrm>
        </xdr:grpSpPr>
        <xdr:sp macro="" textlink="">
          <xdr:nvSpPr>
            <xdr:cNvPr id="74" name="Freeform 73"/>
            <xdr:cNvSpPr>
              <a:spLocks/>
            </xdr:cNvSpPr>
          </xdr:nvSpPr>
          <xdr:spPr bwMode="auto">
            <a:xfrm>
              <a:off x="9015" y="-739"/>
              <a:ext cx="261" cy="261"/>
            </a:xfrm>
            <a:custGeom>
              <a:avLst/>
              <a:gdLst>
                <a:gd name="T0" fmla="+- 0 9287 9027"/>
                <a:gd name="T1" fmla="*/ T0 w 261"/>
                <a:gd name="T2" fmla="+- 0 -739 -739"/>
                <a:gd name="T3" fmla="*/ -739 h 261"/>
                <a:gd name="T4" fmla="+- 0 9027 9027"/>
                <a:gd name="T5" fmla="*/ T4 w 261"/>
                <a:gd name="T6" fmla="+- 0 -479 -739"/>
                <a:gd name="T7" fmla="*/ -479 h 2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261" h="261">
                  <a:moveTo>
                    <a:pt x="260" y="0"/>
                  </a:moveTo>
                  <a:lnTo>
                    <a:pt x="0" y="260"/>
                  </a:lnTo>
                </a:path>
              </a:pathLst>
            </a:custGeom>
            <a:noFill/>
            <a:ln w="35624">
              <a:solidFill>
                <a:schemeClr val="bg1">
                  <a:lumMod val="8500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</xdr:grpSp>
    <xdr:clientData/>
  </xdr:twoCellAnchor>
  <xdr:twoCellAnchor>
    <xdr:from>
      <xdr:col>6</xdr:col>
      <xdr:colOff>266700</xdr:colOff>
      <xdr:row>12</xdr:row>
      <xdr:rowOff>83820</xdr:rowOff>
    </xdr:from>
    <xdr:to>
      <xdr:col>8</xdr:col>
      <xdr:colOff>411475</xdr:colOff>
      <xdr:row>24</xdr:row>
      <xdr:rowOff>59689</xdr:rowOff>
    </xdr:to>
    <xdr:grpSp>
      <xdr:nvGrpSpPr>
        <xdr:cNvPr id="4" name="Group 3"/>
        <xdr:cNvGrpSpPr/>
      </xdr:nvGrpSpPr>
      <xdr:grpSpPr>
        <a:xfrm>
          <a:off x="6154674" y="2466213"/>
          <a:ext cx="1448938" cy="2162428"/>
          <a:chOff x="0" y="0"/>
          <a:chExt cx="1365885" cy="2171700"/>
        </a:xfrm>
      </xdr:grpSpPr>
      <xdr:grpSp>
        <xdr:nvGrpSpPr>
          <xdr:cNvPr id="5" name="Group 4"/>
          <xdr:cNvGrpSpPr>
            <a:grpSpLocks/>
          </xdr:cNvGrpSpPr>
        </xdr:nvGrpSpPr>
        <xdr:grpSpPr bwMode="auto">
          <a:xfrm>
            <a:off x="624840" y="152400"/>
            <a:ext cx="45085" cy="396240"/>
            <a:chOff x="3694" y="2124"/>
            <a:chExt cx="2" cy="1011"/>
          </a:xfrm>
        </xdr:grpSpPr>
        <xdr:sp macro="" textlink="">
          <xdr:nvSpPr>
            <xdr:cNvPr id="11" name="Freeform 10"/>
            <xdr:cNvSpPr>
              <a:spLocks/>
            </xdr:cNvSpPr>
          </xdr:nvSpPr>
          <xdr:spPr bwMode="auto">
            <a:xfrm>
              <a:off x="3694" y="2124"/>
              <a:ext cx="2" cy="1011"/>
            </a:xfrm>
            <a:custGeom>
              <a:avLst/>
              <a:gdLst>
                <a:gd name="T0" fmla="+- 0 2124 2124"/>
                <a:gd name="T1" fmla="*/ 2124 h 1011"/>
                <a:gd name="T2" fmla="+- 0 3134 2124"/>
                <a:gd name="T3" fmla="*/ 3134 h 1011"/>
              </a:gdLst>
              <a:ahLst/>
              <a:cxnLst>
                <a:cxn ang="0">
                  <a:pos x="0" y="T1"/>
                </a:cxn>
                <a:cxn ang="0">
                  <a:pos x="0" y="T3"/>
                </a:cxn>
              </a:cxnLst>
              <a:rect l="0" t="0" r="r" b="b"/>
              <a:pathLst>
                <a:path h="1011">
                  <a:moveTo>
                    <a:pt x="0" y="0"/>
                  </a:moveTo>
                  <a:lnTo>
                    <a:pt x="0" y="1010"/>
                  </a:lnTo>
                </a:path>
              </a:pathLst>
            </a:custGeom>
            <a:noFill/>
            <a:ln w="19050">
              <a:solidFill>
                <a:srgbClr val="036CB6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6" name="Group 5"/>
          <xdr:cNvGrpSpPr>
            <a:grpSpLocks/>
          </xdr:cNvGrpSpPr>
        </xdr:nvGrpSpPr>
        <xdr:grpSpPr bwMode="auto">
          <a:xfrm>
            <a:off x="548640" y="0"/>
            <a:ext cx="153670" cy="154940"/>
            <a:chOff x="3574" y="1889"/>
            <a:chExt cx="242" cy="244"/>
          </a:xfrm>
        </xdr:grpSpPr>
        <xdr:sp macro="" textlink="">
          <xdr:nvSpPr>
            <xdr:cNvPr id="10" name="Freeform 9"/>
            <xdr:cNvSpPr>
              <a:spLocks/>
            </xdr:cNvSpPr>
          </xdr:nvSpPr>
          <xdr:spPr bwMode="auto">
            <a:xfrm>
              <a:off x="3574" y="1889"/>
              <a:ext cx="242" cy="244"/>
            </a:xfrm>
            <a:custGeom>
              <a:avLst/>
              <a:gdLst>
                <a:gd name="T0" fmla="+- 0 3694 3574"/>
                <a:gd name="T1" fmla="*/ T0 w 242"/>
                <a:gd name="T2" fmla="+- 0 2132 1889"/>
                <a:gd name="T3" fmla="*/ 2132 h 244"/>
                <a:gd name="T4" fmla="+- 0 3758 3574"/>
                <a:gd name="T5" fmla="*/ T4 w 242"/>
                <a:gd name="T6" fmla="+- 0 2114 1889"/>
                <a:gd name="T7" fmla="*/ 2114 h 244"/>
                <a:gd name="T8" fmla="+- 0 3802 3574"/>
                <a:gd name="T9" fmla="*/ T8 w 242"/>
                <a:gd name="T10" fmla="+- 0 2067 1889"/>
                <a:gd name="T11" fmla="*/ 2067 h 244"/>
                <a:gd name="T12" fmla="+- 0 3815 3574"/>
                <a:gd name="T13" fmla="*/ T12 w 242"/>
                <a:gd name="T14" fmla="+- 0 2025 1889"/>
                <a:gd name="T15" fmla="*/ 2025 h 244"/>
                <a:gd name="T16" fmla="+- 0 3814 3574"/>
                <a:gd name="T17" fmla="*/ T16 w 242"/>
                <a:gd name="T18" fmla="+- 0 1999 1889"/>
                <a:gd name="T19" fmla="*/ 1999 h 244"/>
                <a:gd name="T20" fmla="+- 0 3788 3574"/>
                <a:gd name="T21" fmla="*/ T20 w 242"/>
                <a:gd name="T22" fmla="+- 0 1936 1889"/>
                <a:gd name="T23" fmla="*/ 1936 h 244"/>
                <a:gd name="T24" fmla="+- 0 3739 3574"/>
                <a:gd name="T25" fmla="*/ T24 w 242"/>
                <a:gd name="T26" fmla="+- 0 1898 1889"/>
                <a:gd name="T27" fmla="*/ 1898 h 244"/>
                <a:gd name="T28" fmla="+- 0 3698 3574"/>
                <a:gd name="T29" fmla="*/ T28 w 242"/>
                <a:gd name="T30" fmla="+- 0 1889 1889"/>
                <a:gd name="T31" fmla="*/ 1889 h 244"/>
                <a:gd name="T32" fmla="+- 0 3674 3574"/>
                <a:gd name="T33" fmla="*/ T32 w 242"/>
                <a:gd name="T34" fmla="+- 0 1891 1889"/>
                <a:gd name="T35" fmla="*/ 1891 h 244"/>
                <a:gd name="T36" fmla="+- 0 3615 3574"/>
                <a:gd name="T37" fmla="*/ T36 w 242"/>
                <a:gd name="T38" fmla="+- 0 1919 1889"/>
                <a:gd name="T39" fmla="*/ 1919 h 244"/>
                <a:gd name="T40" fmla="+- 0 3579 3574"/>
                <a:gd name="T41" fmla="*/ T40 w 242"/>
                <a:gd name="T42" fmla="+- 0 1973 1889"/>
                <a:gd name="T43" fmla="*/ 1973 h 244"/>
                <a:gd name="T44" fmla="+- 0 3574 3574"/>
                <a:gd name="T45" fmla="*/ T44 w 242"/>
                <a:gd name="T46" fmla="+- 0 1994 1889"/>
                <a:gd name="T47" fmla="*/ 1994 h 244"/>
                <a:gd name="T48" fmla="+- 0 3575 3574"/>
                <a:gd name="T49" fmla="*/ T48 w 242"/>
                <a:gd name="T50" fmla="+- 0 2020 1889"/>
                <a:gd name="T51" fmla="*/ 2020 h 244"/>
                <a:gd name="T52" fmla="+- 0 3600 3574"/>
                <a:gd name="T53" fmla="*/ T52 w 242"/>
                <a:gd name="T54" fmla="+- 0 2084 1889"/>
                <a:gd name="T55" fmla="*/ 2084 h 244"/>
                <a:gd name="T56" fmla="+- 0 3648 3574"/>
                <a:gd name="T57" fmla="*/ T56 w 242"/>
                <a:gd name="T58" fmla="+- 0 2123 1889"/>
                <a:gd name="T59" fmla="*/ 2123 h 244"/>
                <a:gd name="T60" fmla="+- 0 3694 3574"/>
                <a:gd name="T61" fmla="*/ T60 w 242"/>
                <a:gd name="T62" fmla="+- 0 2132 1889"/>
                <a:gd name="T63" fmla="*/ 2132 h 24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</a:cxnLst>
              <a:rect l="0" t="0" r="r" b="b"/>
              <a:pathLst>
                <a:path w="242" h="244">
                  <a:moveTo>
                    <a:pt x="120" y="243"/>
                  </a:moveTo>
                  <a:lnTo>
                    <a:pt x="184" y="225"/>
                  </a:lnTo>
                  <a:lnTo>
                    <a:pt x="228" y="178"/>
                  </a:lnTo>
                  <a:lnTo>
                    <a:pt x="241" y="136"/>
                  </a:lnTo>
                  <a:lnTo>
                    <a:pt x="240" y="110"/>
                  </a:lnTo>
                  <a:lnTo>
                    <a:pt x="214" y="47"/>
                  </a:lnTo>
                  <a:lnTo>
                    <a:pt x="165" y="9"/>
                  </a:lnTo>
                  <a:lnTo>
                    <a:pt x="124" y="0"/>
                  </a:lnTo>
                  <a:lnTo>
                    <a:pt x="100" y="2"/>
                  </a:lnTo>
                  <a:lnTo>
                    <a:pt x="41" y="30"/>
                  </a:lnTo>
                  <a:lnTo>
                    <a:pt x="5" y="84"/>
                  </a:lnTo>
                  <a:lnTo>
                    <a:pt x="0" y="105"/>
                  </a:lnTo>
                  <a:lnTo>
                    <a:pt x="1" y="131"/>
                  </a:lnTo>
                  <a:lnTo>
                    <a:pt x="26" y="195"/>
                  </a:lnTo>
                  <a:lnTo>
                    <a:pt x="74" y="234"/>
                  </a:lnTo>
                  <a:lnTo>
                    <a:pt x="120" y="243"/>
                  </a:lnTo>
                  <a:close/>
                </a:path>
              </a:pathLst>
            </a:custGeom>
            <a:solidFill>
              <a:srgbClr val="FFFFFF"/>
            </a:solidFill>
            <a:ln w="25400">
              <a:solidFill>
                <a:srgbClr val="036CB6"/>
              </a:solidFill>
              <a:round/>
              <a:headEnd/>
              <a:tailEnd/>
            </a:ln>
            <a:extLst/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7" name="Group 6"/>
          <xdr:cNvGrpSpPr>
            <a:grpSpLocks/>
          </xdr:cNvGrpSpPr>
        </xdr:nvGrpSpPr>
        <xdr:grpSpPr bwMode="auto">
          <a:xfrm>
            <a:off x="236220" y="541020"/>
            <a:ext cx="765810" cy="121920"/>
            <a:chOff x="850" y="3141"/>
            <a:chExt cx="2339" cy="2"/>
          </a:xfrm>
        </xdr:grpSpPr>
        <xdr:sp macro="" textlink="">
          <xdr:nvSpPr>
            <xdr:cNvPr id="9" name="Freeform 8"/>
            <xdr:cNvSpPr>
              <a:spLocks/>
            </xdr:cNvSpPr>
          </xdr:nvSpPr>
          <xdr:spPr bwMode="auto">
            <a:xfrm>
              <a:off x="850" y="3141"/>
              <a:ext cx="2339" cy="2"/>
            </a:xfrm>
            <a:custGeom>
              <a:avLst/>
              <a:gdLst>
                <a:gd name="T0" fmla="+- 0 850 850"/>
                <a:gd name="T1" fmla="*/ T0 w 2339"/>
                <a:gd name="T2" fmla="+- 0 3189 850"/>
                <a:gd name="T3" fmla="*/ T2 w 2339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2339">
                  <a:moveTo>
                    <a:pt x="0" y="0"/>
                  </a:moveTo>
                  <a:lnTo>
                    <a:pt x="2339" y="0"/>
                  </a:lnTo>
                </a:path>
              </a:pathLst>
            </a:custGeom>
            <a:noFill/>
            <a:ln w="19050">
              <a:solidFill>
                <a:srgbClr val="036CB6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0" y="571500"/>
            <a:ext cx="1365885" cy="1600200"/>
          </a:xfrm>
          <a:prstGeom prst="rect">
            <a:avLst/>
          </a:prstGeom>
          <a:noFill/>
          <a:ln w="9525">
            <a:solidFill>
              <a:schemeClr val="bg1">
                <a:lumMod val="85000"/>
              </a:scheme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DD</a:t>
            </a:r>
            <a:r>
              <a:rPr lang="en-US" sz="1100" b="1" spc="-155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 </a:t>
            </a: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mmm</a:t>
            </a:r>
            <a:r>
              <a:rPr lang="en-US" sz="1100" b="1" spc="-180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 </a:t>
            </a: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yyyy</a:t>
            </a:r>
            <a:r>
              <a:rPr lang="en-US" sz="2000">
                <a:solidFill>
                  <a:srgbClr val="58595B"/>
                </a:solidFill>
                <a:effectLst/>
                <a:latin typeface="Avenir Next"/>
                <a:ea typeface="Calibri"/>
                <a:cs typeface="Arial"/>
              </a:rPr>
              <a:t> </a:t>
            </a:r>
            <a:r>
              <a:rPr lang="en-US" sz="900">
                <a:solidFill>
                  <a:srgbClr val="58595B"/>
                </a:solidFill>
                <a:effectLst/>
                <a:latin typeface="Minion Pro"/>
                <a:ea typeface="Calibri"/>
                <a:cs typeface="Arial"/>
              </a:rPr>
              <a:t>Sharp rise in civilians being targeted by local armed groups. Intimidations linked to the ongoing conflict and historical underlying tensions.</a:t>
            </a:r>
            <a:endParaRPr lang="en-GB" sz="1100">
              <a:effectLst/>
              <a:latin typeface="Calibri"/>
              <a:ea typeface="Calibri"/>
              <a:cs typeface="Arial"/>
            </a:endParaRPr>
          </a:p>
        </xdr:txBody>
      </xdr:sp>
    </xdr:grpSp>
    <xdr:clientData/>
  </xdr:twoCellAnchor>
  <xdr:twoCellAnchor>
    <xdr:from>
      <xdr:col>9</xdr:col>
      <xdr:colOff>190499</xdr:colOff>
      <xdr:row>12</xdr:row>
      <xdr:rowOff>68580</xdr:rowOff>
    </xdr:from>
    <xdr:to>
      <xdr:col>11</xdr:col>
      <xdr:colOff>335274</xdr:colOff>
      <xdr:row>24</xdr:row>
      <xdr:rowOff>44449</xdr:rowOff>
    </xdr:to>
    <xdr:grpSp>
      <xdr:nvGrpSpPr>
        <xdr:cNvPr id="135" name="Group 134"/>
        <xdr:cNvGrpSpPr/>
      </xdr:nvGrpSpPr>
      <xdr:grpSpPr>
        <a:xfrm>
          <a:off x="8017001" y="2451735"/>
          <a:ext cx="1448938" cy="2162047"/>
          <a:chOff x="0" y="0"/>
          <a:chExt cx="1365885" cy="2171700"/>
        </a:xfrm>
      </xdr:grpSpPr>
      <xdr:grpSp>
        <xdr:nvGrpSpPr>
          <xdr:cNvPr id="136" name="Group 135"/>
          <xdr:cNvGrpSpPr>
            <a:grpSpLocks/>
          </xdr:cNvGrpSpPr>
        </xdr:nvGrpSpPr>
        <xdr:grpSpPr bwMode="auto">
          <a:xfrm>
            <a:off x="309245" y="144953"/>
            <a:ext cx="45085" cy="396240"/>
            <a:chOff x="3680" y="2105"/>
            <a:chExt cx="2" cy="1011"/>
          </a:xfrm>
        </xdr:grpSpPr>
        <xdr:sp macro="" textlink="">
          <xdr:nvSpPr>
            <xdr:cNvPr id="142" name="Freeform 141"/>
            <xdr:cNvSpPr>
              <a:spLocks/>
            </xdr:cNvSpPr>
          </xdr:nvSpPr>
          <xdr:spPr bwMode="auto">
            <a:xfrm>
              <a:off x="3680" y="2105"/>
              <a:ext cx="2" cy="1011"/>
            </a:xfrm>
            <a:custGeom>
              <a:avLst/>
              <a:gdLst>
                <a:gd name="T0" fmla="+- 0 2124 2124"/>
                <a:gd name="T1" fmla="*/ 2124 h 1011"/>
                <a:gd name="T2" fmla="+- 0 3134 2124"/>
                <a:gd name="T3" fmla="*/ 3134 h 1011"/>
              </a:gdLst>
              <a:ahLst/>
              <a:cxnLst>
                <a:cxn ang="0">
                  <a:pos x="0" y="T1"/>
                </a:cxn>
                <a:cxn ang="0">
                  <a:pos x="0" y="T3"/>
                </a:cxn>
              </a:cxnLst>
              <a:rect l="0" t="0" r="r" b="b"/>
              <a:pathLst>
                <a:path h="1011">
                  <a:moveTo>
                    <a:pt x="0" y="0"/>
                  </a:moveTo>
                  <a:lnTo>
                    <a:pt x="0" y="1010"/>
                  </a:lnTo>
                </a:path>
              </a:pathLst>
            </a:custGeom>
            <a:noFill/>
            <a:ln w="19050">
              <a:solidFill>
                <a:srgbClr val="036CB6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137" name="Group 136"/>
          <xdr:cNvGrpSpPr>
            <a:grpSpLocks/>
          </xdr:cNvGrpSpPr>
        </xdr:nvGrpSpPr>
        <xdr:grpSpPr bwMode="auto">
          <a:xfrm>
            <a:off x="251460" y="0"/>
            <a:ext cx="153670" cy="154940"/>
            <a:chOff x="3106" y="1889"/>
            <a:chExt cx="242" cy="244"/>
          </a:xfrm>
        </xdr:grpSpPr>
        <xdr:sp macro="" textlink="">
          <xdr:nvSpPr>
            <xdr:cNvPr id="141" name="Freeform 140"/>
            <xdr:cNvSpPr>
              <a:spLocks/>
            </xdr:cNvSpPr>
          </xdr:nvSpPr>
          <xdr:spPr bwMode="auto">
            <a:xfrm>
              <a:off x="3106" y="1889"/>
              <a:ext cx="242" cy="244"/>
            </a:xfrm>
            <a:custGeom>
              <a:avLst/>
              <a:gdLst>
                <a:gd name="T0" fmla="+- 0 3694 3574"/>
                <a:gd name="T1" fmla="*/ T0 w 242"/>
                <a:gd name="T2" fmla="+- 0 2132 1889"/>
                <a:gd name="T3" fmla="*/ 2132 h 244"/>
                <a:gd name="T4" fmla="+- 0 3758 3574"/>
                <a:gd name="T5" fmla="*/ T4 w 242"/>
                <a:gd name="T6" fmla="+- 0 2114 1889"/>
                <a:gd name="T7" fmla="*/ 2114 h 244"/>
                <a:gd name="T8" fmla="+- 0 3802 3574"/>
                <a:gd name="T9" fmla="*/ T8 w 242"/>
                <a:gd name="T10" fmla="+- 0 2067 1889"/>
                <a:gd name="T11" fmla="*/ 2067 h 244"/>
                <a:gd name="T12" fmla="+- 0 3815 3574"/>
                <a:gd name="T13" fmla="*/ T12 w 242"/>
                <a:gd name="T14" fmla="+- 0 2025 1889"/>
                <a:gd name="T15" fmla="*/ 2025 h 244"/>
                <a:gd name="T16" fmla="+- 0 3814 3574"/>
                <a:gd name="T17" fmla="*/ T16 w 242"/>
                <a:gd name="T18" fmla="+- 0 1999 1889"/>
                <a:gd name="T19" fmla="*/ 1999 h 244"/>
                <a:gd name="T20" fmla="+- 0 3788 3574"/>
                <a:gd name="T21" fmla="*/ T20 w 242"/>
                <a:gd name="T22" fmla="+- 0 1936 1889"/>
                <a:gd name="T23" fmla="*/ 1936 h 244"/>
                <a:gd name="T24" fmla="+- 0 3739 3574"/>
                <a:gd name="T25" fmla="*/ T24 w 242"/>
                <a:gd name="T26" fmla="+- 0 1898 1889"/>
                <a:gd name="T27" fmla="*/ 1898 h 244"/>
                <a:gd name="T28" fmla="+- 0 3698 3574"/>
                <a:gd name="T29" fmla="*/ T28 w 242"/>
                <a:gd name="T30" fmla="+- 0 1889 1889"/>
                <a:gd name="T31" fmla="*/ 1889 h 244"/>
                <a:gd name="T32" fmla="+- 0 3674 3574"/>
                <a:gd name="T33" fmla="*/ T32 w 242"/>
                <a:gd name="T34" fmla="+- 0 1891 1889"/>
                <a:gd name="T35" fmla="*/ 1891 h 244"/>
                <a:gd name="T36" fmla="+- 0 3615 3574"/>
                <a:gd name="T37" fmla="*/ T36 w 242"/>
                <a:gd name="T38" fmla="+- 0 1919 1889"/>
                <a:gd name="T39" fmla="*/ 1919 h 244"/>
                <a:gd name="T40" fmla="+- 0 3579 3574"/>
                <a:gd name="T41" fmla="*/ T40 w 242"/>
                <a:gd name="T42" fmla="+- 0 1973 1889"/>
                <a:gd name="T43" fmla="*/ 1973 h 244"/>
                <a:gd name="T44" fmla="+- 0 3574 3574"/>
                <a:gd name="T45" fmla="*/ T44 w 242"/>
                <a:gd name="T46" fmla="+- 0 1994 1889"/>
                <a:gd name="T47" fmla="*/ 1994 h 244"/>
                <a:gd name="T48" fmla="+- 0 3575 3574"/>
                <a:gd name="T49" fmla="*/ T48 w 242"/>
                <a:gd name="T50" fmla="+- 0 2020 1889"/>
                <a:gd name="T51" fmla="*/ 2020 h 244"/>
                <a:gd name="T52" fmla="+- 0 3600 3574"/>
                <a:gd name="T53" fmla="*/ T52 w 242"/>
                <a:gd name="T54" fmla="+- 0 2084 1889"/>
                <a:gd name="T55" fmla="*/ 2084 h 244"/>
                <a:gd name="T56" fmla="+- 0 3648 3574"/>
                <a:gd name="T57" fmla="*/ T56 w 242"/>
                <a:gd name="T58" fmla="+- 0 2123 1889"/>
                <a:gd name="T59" fmla="*/ 2123 h 244"/>
                <a:gd name="T60" fmla="+- 0 3694 3574"/>
                <a:gd name="T61" fmla="*/ T60 w 242"/>
                <a:gd name="T62" fmla="+- 0 2132 1889"/>
                <a:gd name="T63" fmla="*/ 2132 h 24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</a:cxnLst>
              <a:rect l="0" t="0" r="r" b="b"/>
              <a:pathLst>
                <a:path w="242" h="244">
                  <a:moveTo>
                    <a:pt x="120" y="243"/>
                  </a:moveTo>
                  <a:lnTo>
                    <a:pt x="184" y="225"/>
                  </a:lnTo>
                  <a:lnTo>
                    <a:pt x="228" y="178"/>
                  </a:lnTo>
                  <a:lnTo>
                    <a:pt x="241" y="136"/>
                  </a:lnTo>
                  <a:lnTo>
                    <a:pt x="240" y="110"/>
                  </a:lnTo>
                  <a:lnTo>
                    <a:pt x="214" y="47"/>
                  </a:lnTo>
                  <a:lnTo>
                    <a:pt x="165" y="9"/>
                  </a:lnTo>
                  <a:lnTo>
                    <a:pt x="124" y="0"/>
                  </a:lnTo>
                  <a:lnTo>
                    <a:pt x="100" y="2"/>
                  </a:lnTo>
                  <a:lnTo>
                    <a:pt x="41" y="30"/>
                  </a:lnTo>
                  <a:lnTo>
                    <a:pt x="5" y="84"/>
                  </a:lnTo>
                  <a:lnTo>
                    <a:pt x="0" y="105"/>
                  </a:lnTo>
                  <a:lnTo>
                    <a:pt x="1" y="131"/>
                  </a:lnTo>
                  <a:lnTo>
                    <a:pt x="26" y="195"/>
                  </a:lnTo>
                  <a:lnTo>
                    <a:pt x="74" y="234"/>
                  </a:lnTo>
                  <a:lnTo>
                    <a:pt x="120" y="243"/>
                  </a:lnTo>
                  <a:close/>
                </a:path>
              </a:pathLst>
            </a:custGeom>
            <a:solidFill>
              <a:srgbClr val="FFFFFF"/>
            </a:solidFill>
            <a:ln w="25400">
              <a:solidFill>
                <a:srgbClr val="036CB6"/>
              </a:solidFill>
              <a:round/>
              <a:headEnd/>
              <a:tailEnd/>
            </a:ln>
            <a:extLst/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138" name="Group 137"/>
          <xdr:cNvGrpSpPr>
            <a:grpSpLocks/>
          </xdr:cNvGrpSpPr>
        </xdr:nvGrpSpPr>
        <xdr:grpSpPr bwMode="auto">
          <a:xfrm>
            <a:off x="236220" y="541020"/>
            <a:ext cx="765810" cy="121920"/>
            <a:chOff x="850" y="3141"/>
            <a:chExt cx="2339" cy="2"/>
          </a:xfrm>
        </xdr:grpSpPr>
        <xdr:sp macro="" textlink="">
          <xdr:nvSpPr>
            <xdr:cNvPr id="140" name="Freeform 139"/>
            <xdr:cNvSpPr>
              <a:spLocks/>
            </xdr:cNvSpPr>
          </xdr:nvSpPr>
          <xdr:spPr bwMode="auto">
            <a:xfrm>
              <a:off x="850" y="3141"/>
              <a:ext cx="2339" cy="2"/>
            </a:xfrm>
            <a:custGeom>
              <a:avLst/>
              <a:gdLst>
                <a:gd name="T0" fmla="+- 0 850 850"/>
                <a:gd name="T1" fmla="*/ T0 w 2339"/>
                <a:gd name="T2" fmla="+- 0 3189 850"/>
                <a:gd name="T3" fmla="*/ T2 w 2339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2339">
                  <a:moveTo>
                    <a:pt x="0" y="0"/>
                  </a:moveTo>
                  <a:lnTo>
                    <a:pt x="2339" y="0"/>
                  </a:lnTo>
                </a:path>
              </a:pathLst>
            </a:custGeom>
            <a:noFill/>
            <a:ln w="19050">
              <a:solidFill>
                <a:srgbClr val="036CB6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sp macro="" textlink="">
        <xdr:nvSpPr>
          <xdr:cNvPr id="139" name="Text Box 2"/>
          <xdr:cNvSpPr txBox="1">
            <a:spLocks noChangeArrowheads="1"/>
          </xdr:cNvSpPr>
        </xdr:nvSpPr>
        <xdr:spPr bwMode="auto">
          <a:xfrm>
            <a:off x="0" y="571500"/>
            <a:ext cx="1365885" cy="1600200"/>
          </a:xfrm>
          <a:prstGeom prst="rect">
            <a:avLst/>
          </a:prstGeom>
          <a:noFill/>
          <a:ln w="9525">
            <a:solidFill>
              <a:schemeClr val="bg1">
                <a:lumMod val="85000"/>
              </a:scheme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DD</a:t>
            </a:r>
            <a:r>
              <a:rPr lang="en-US" sz="1100" b="1" spc="-155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 </a:t>
            </a: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mmm</a:t>
            </a:r>
            <a:r>
              <a:rPr lang="en-US" sz="1100" b="1" spc="-180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 </a:t>
            </a: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yyyy</a:t>
            </a:r>
            <a:r>
              <a:rPr lang="en-US" sz="2000">
                <a:solidFill>
                  <a:srgbClr val="58595B"/>
                </a:solidFill>
                <a:effectLst/>
                <a:latin typeface="Avenir Next"/>
                <a:ea typeface="Calibri"/>
                <a:cs typeface="Arial"/>
              </a:rPr>
              <a:t> </a:t>
            </a:r>
            <a:r>
              <a:rPr lang="en-US" sz="900">
                <a:solidFill>
                  <a:srgbClr val="58595B"/>
                </a:solidFill>
                <a:effectLst/>
                <a:latin typeface="Minion Pro"/>
                <a:ea typeface="Calibri"/>
                <a:cs typeface="Arial"/>
              </a:rPr>
              <a:t>Sharp rise in civilians being targeted by local armed groups. Intimidations linked to the ongoing conflict and historical underlying tensions.</a:t>
            </a:r>
            <a:endParaRPr lang="en-GB" sz="1100">
              <a:effectLst/>
              <a:latin typeface="Calibri"/>
              <a:ea typeface="Calibri"/>
              <a:cs typeface="Arial"/>
            </a:endParaRPr>
          </a:p>
        </xdr:txBody>
      </xdr:sp>
    </xdr:grpSp>
    <xdr:clientData/>
  </xdr:twoCellAnchor>
  <xdr:twoCellAnchor>
    <xdr:from>
      <xdr:col>12</xdr:col>
      <xdr:colOff>22860</xdr:colOff>
      <xdr:row>12</xdr:row>
      <xdr:rowOff>83820</xdr:rowOff>
    </xdr:from>
    <xdr:to>
      <xdr:col>14</xdr:col>
      <xdr:colOff>167644</xdr:colOff>
      <xdr:row>24</xdr:row>
      <xdr:rowOff>59686</xdr:rowOff>
    </xdr:to>
    <xdr:grpSp>
      <xdr:nvGrpSpPr>
        <xdr:cNvPr id="150" name="Group 149"/>
        <xdr:cNvGrpSpPr/>
      </xdr:nvGrpSpPr>
      <xdr:grpSpPr>
        <a:xfrm>
          <a:off x="9781794" y="2466213"/>
          <a:ext cx="1449328" cy="2162425"/>
          <a:chOff x="0" y="0"/>
          <a:chExt cx="1365885" cy="2171700"/>
        </a:xfrm>
      </xdr:grpSpPr>
      <xdr:grpSp>
        <xdr:nvGrpSpPr>
          <xdr:cNvPr id="151" name="Group 150"/>
          <xdr:cNvGrpSpPr>
            <a:grpSpLocks/>
          </xdr:cNvGrpSpPr>
        </xdr:nvGrpSpPr>
        <xdr:grpSpPr bwMode="auto">
          <a:xfrm>
            <a:off x="251460" y="0"/>
            <a:ext cx="153670" cy="154940"/>
            <a:chOff x="3106" y="1889"/>
            <a:chExt cx="242" cy="244"/>
          </a:xfrm>
        </xdr:grpSpPr>
        <xdr:sp macro="" textlink="">
          <xdr:nvSpPr>
            <xdr:cNvPr id="156" name="Freeform 155"/>
            <xdr:cNvSpPr>
              <a:spLocks/>
            </xdr:cNvSpPr>
          </xdr:nvSpPr>
          <xdr:spPr bwMode="auto">
            <a:xfrm>
              <a:off x="3106" y="1889"/>
              <a:ext cx="242" cy="244"/>
            </a:xfrm>
            <a:custGeom>
              <a:avLst/>
              <a:gdLst>
                <a:gd name="T0" fmla="+- 0 3694 3574"/>
                <a:gd name="T1" fmla="*/ T0 w 242"/>
                <a:gd name="T2" fmla="+- 0 2132 1889"/>
                <a:gd name="T3" fmla="*/ 2132 h 244"/>
                <a:gd name="T4" fmla="+- 0 3758 3574"/>
                <a:gd name="T5" fmla="*/ T4 w 242"/>
                <a:gd name="T6" fmla="+- 0 2114 1889"/>
                <a:gd name="T7" fmla="*/ 2114 h 244"/>
                <a:gd name="T8" fmla="+- 0 3802 3574"/>
                <a:gd name="T9" fmla="*/ T8 w 242"/>
                <a:gd name="T10" fmla="+- 0 2067 1889"/>
                <a:gd name="T11" fmla="*/ 2067 h 244"/>
                <a:gd name="T12" fmla="+- 0 3815 3574"/>
                <a:gd name="T13" fmla="*/ T12 w 242"/>
                <a:gd name="T14" fmla="+- 0 2025 1889"/>
                <a:gd name="T15" fmla="*/ 2025 h 244"/>
                <a:gd name="T16" fmla="+- 0 3814 3574"/>
                <a:gd name="T17" fmla="*/ T16 w 242"/>
                <a:gd name="T18" fmla="+- 0 1999 1889"/>
                <a:gd name="T19" fmla="*/ 1999 h 244"/>
                <a:gd name="T20" fmla="+- 0 3788 3574"/>
                <a:gd name="T21" fmla="*/ T20 w 242"/>
                <a:gd name="T22" fmla="+- 0 1936 1889"/>
                <a:gd name="T23" fmla="*/ 1936 h 244"/>
                <a:gd name="T24" fmla="+- 0 3739 3574"/>
                <a:gd name="T25" fmla="*/ T24 w 242"/>
                <a:gd name="T26" fmla="+- 0 1898 1889"/>
                <a:gd name="T27" fmla="*/ 1898 h 244"/>
                <a:gd name="T28" fmla="+- 0 3698 3574"/>
                <a:gd name="T29" fmla="*/ T28 w 242"/>
                <a:gd name="T30" fmla="+- 0 1889 1889"/>
                <a:gd name="T31" fmla="*/ 1889 h 244"/>
                <a:gd name="T32" fmla="+- 0 3674 3574"/>
                <a:gd name="T33" fmla="*/ T32 w 242"/>
                <a:gd name="T34" fmla="+- 0 1891 1889"/>
                <a:gd name="T35" fmla="*/ 1891 h 244"/>
                <a:gd name="T36" fmla="+- 0 3615 3574"/>
                <a:gd name="T37" fmla="*/ T36 w 242"/>
                <a:gd name="T38" fmla="+- 0 1919 1889"/>
                <a:gd name="T39" fmla="*/ 1919 h 244"/>
                <a:gd name="T40" fmla="+- 0 3579 3574"/>
                <a:gd name="T41" fmla="*/ T40 w 242"/>
                <a:gd name="T42" fmla="+- 0 1973 1889"/>
                <a:gd name="T43" fmla="*/ 1973 h 244"/>
                <a:gd name="T44" fmla="+- 0 3574 3574"/>
                <a:gd name="T45" fmla="*/ T44 w 242"/>
                <a:gd name="T46" fmla="+- 0 1994 1889"/>
                <a:gd name="T47" fmla="*/ 1994 h 244"/>
                <a:gd name="T48" fmla="+- 0 3575 3574"/>
                <a:gd name="T49" fmla="*/ T48 w 242"/>
                <a:gd name="T50" fmla="+- 0 2020 1889"/>
                <a:gd name="T51" fmla="*/ 2020 h 244"/>
                <a:gd name="T52" fmla="+- 0 3600 3574"/>
                <a:gd name="T53" fmla="*/ T52 w 242"/>
                <a:gd name="T54" fmla="+- 0 2084 1889"/>
                <a:gd name="T55" fmla="*/ 2084 h 244"/>
                <a:gd name="T56" fmla="+- 0 3648 3574"/>
                <a:gd name="T57" fmla="*/ T56 w 242"/>
                <a:gd name="T58" fmla="+- 0 2123 1889"/>
                <a:gd name="T59" fmla="*/ 2123 h 244"/>
                <a:gd name="T60" fmla="+- 0 3694 3574"/>
                <a:gd name="T61" fmla="*/ T60 w 242"/>
                <a:gd name="T62" fmla="+- 0 2132 1889"/>
                <a:gd name="T63" fmla="*/ 2132 h 24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</a:cxnLst>
              <a:rect l="0" t="0" r="r" b="b"/>
              <a:pathLst>
                <a:path w="242" h="244">
                  <a:moveTo>
                    <a:pt x="120" y="243"/>
                  </a:moveTo>
                  <a:lnTo>
                    <a:pt x="184" y="225"/>
                  </a:lnTo>
                  <a:lnTo>
                    <a:pt x="228" y="178"/>
                  </a:lnTo>
                  <a:lnTo>
                    <a:pt x="241" y="136"/>
                  </a:lnTo>
                  <a:lnTo>
                    <a:pt x="240" y="110"/>
                  </a:lnTo>
                  <a:lnTo>
                    <a:pt x="214" y="47"/>
                  </a:lnTo>
                  <a:lnTo>
                    <a:pt x="165" y="9"/>
                  </a:lnTo>
                  <a:lnTo>
                    <a:pt x="124" y="0"/>
                  </a:lnTo>
                  <a:lnTo>
                    <a:pt x="100" y="2"/>
                  </a:lnTo>
                  <a:lnTo>
                    <a:pt x="41" y="30"/>
                  </a:lnTo>
                  <a:lnTo>
                    <a:pt x="5" y="84"/>
                  </a:lnTo>
                  <a:lnTo>
                    <a:pt x="0" y="105"/>
                  </a:lnTo>
                  <a:lnTo>
                    <a:pt x="1" y="131"/>
                  </a:lnTo>
                  <a:lnTo>
                    <a:pt x="26" y="195"/>
                  </a:lnTo>
                  <a:lnTo>
                    <a:pt x="74" y="234"/>
                  </a:lnTo>
                  <a:lnTo>
                    <a:pt x="120" y="243"/>
                  </a:lnTo>
                  <a:close/>
                </a:path>
              </a:pathLst>
            </a:custGeom>
            <a:solidFill>
              <a:srgbClr val="FFFFFF"/>
            </a:solidFill>
            <a:ln w="25400">
              <a:solidFill>
                <a:srgbClr val="036CB6"/>
              </a:solidFill>
              <a:round/>
              <a:headEnd/>
              <a:tailEnd/>
            </a:ln>
            <a:extLst/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152" name="Group 151"/>
          <xdr:cNvGrpSpPr>
            <a:grpSpLocks/>
          </xdr:cNvGrpSpPr>
        </xdr:nvGrpSpPr>
        <xdr:grpSpPr bwMode="auto">
          <a:xfrm>
            <a:off x="236220" y="541020"/>
            <a:ext cx="765810" cy="121920"/>
            <a:chOff x="850" y="3141"/>
            <a:chExt cx="2339" cy="2"/>
          </a:xfrm>
        </xdr:grpSpPr>
        <xdr:sp macro="" textlink="">
          <xdr:nvSpPr>
            <xdr:cNvPr id="155" name="Freeform 154"/>
            <xdr:cNvSpPr>
              <a:spLocks/>
            </xdr:cNvSpPr>
          </xdr:nvSpPr>
          <xdr:spPr bwMode="auto">
            <a:xfrm>
              <a:off x="850" y="3141"/>
              <a:ext cx="2339" cy="2"/>
            </a:xfrm>
            <a:custGeom>
              <a:avLst/>
              <a:gdLst>
                <a:gd name="T0" fmla="+- 0 850 850"/>
                <a:gd name="T1" fmla="*/ T0 w 2339"/>
                <a:gd name="T2" fmla="+- 0 3189 850"/>
                <a:gd name="T3" fmla="*/ T2 w 2339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2339">
                  <a:moveTo>
                    <a:pt x="0" y="0"/>
                  </a:moveTo>
                  <a:lnTo>
                    <a:pt x="2339" y="0"/>
                  </a:lnTo>
                </a:path>
              </a:pathLst>
            </a:custGeom>
            <a:noFill/>
            <a:ln w="19050">
              <a:solidFill>
                <a:srgbClr val="036CB6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sp macro="" textlink="">
        <xdr:nvSpPr>
          <xdr:cNvPr id="153" name="Text Box 2"/>
          <xdr:cNvSpPr txBox="1">
            <a:spLocks noChangeArrowheads="1"/>
          </xdr:cNvSpPr>
        </xdr:nvSpPr>
        <xdr:spPr bwMode="auto">
          <a:xfrm>
            <a:off x="0" y="571500"/>
            <a:ext cx="1365885" cy="1600200"/>
          </a:xfrm>
          <a:prstGeom prst="rect">
            <a:avLst/>
          </a:prstGeom>
          <a:noFill/>
          <a:ln w="9525">
            <a:solidFill>
              <a:schemeClr val="bg1">
                <a:lumMod val="85000"/>
              </a:scheme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DD</a:t>
            </a:r>
            <a:r>
              <a:rPr lang="en-US" sz="1100" b="1" spc="-155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 </a:t>
            </a: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mmm</a:t>
            </a:r>
            <a:r>
              <a:rPr lang="en-US" sz="1100" b="1" spc="-180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 </a:t>
            </a: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yyyy</a:t>
            </a:r>
            <a:r>
              <a:rPr lang="en-US" sz="2000">
                <a:solidFill>
                  <a:srgbClr val="58595B"/>
                </a:solidFill>
                <a:effectLst/>
                <a:latin typeface="Avenir Next"/>
                <a:ea typeface="Calibri"/>
                <a:cs typeface="Arial"/>
              </a:rPr>
              <a:t> </a:t>
            </a:r>
            <a:r>
              <a:rPr lang="en-US" sz="900">
                <a:solidFill>
                  <a:srgbClr val="58595B"/>
                </a:solidFill>
                <a:effectLst/>
                <a:latin typeface="Minion Pro"/>
                <a:ea typeface="Calibri"/>
                <a:cs typeface="Arial"/>
              </a:rPr>
              <a:t>Sharp rise in civilians being targeted by local armed groups. Intimidations linked to the ongoing conflict and historical underlying tensions.</a:t>
            </a:r>
            <a:endParaRPr lang="en-GB" sz="1100">
              <a:effectLst/>
              <a:latin typeface="Calibri"/>
              <a:ea typeface="Calibri"/>
              <a:cs typeface="Arial"/>
            </a:endParaRPr>
          </a:p>
        </xdr:txBody>
      </xdr:sp>
      <xdr:sp macro="" textlink="">
        <xdr:nvSpPr>
          <xdr:cNvPr id="154" name="Freeform 153"/>
          <xdr:cNvSpPr>
            <a:spLocks/>
          </xdr:cNvSpPr>
        </xdr:nvSpPr>
        <xdr:spPr bwMode="auto">
          <a:xfrm>
            <a:off x="312420" y="144780"/>
            <a:ext cx="298450" cy="396240"/>
          </a:xfrm>
          <a:custGeom>
            <a:avLst/>
            <a:gdLst>
              <a:gd name="T0" fmla="+- 0 8433 8433"/>
              <a:gd name="T1" fmla="*/ T0 w 480"/>
              <a:gd name="T2" fmla="+- 0 2135 2135"/>
              <a:gd name="T3" fmla="*/ 2135 h 999"/>
              <a:gd name="T4" fmla="+- 0 8433 8433"/>
              <a:gd name="T5" fmla="*/ T4 w 480"/>
              <a:gd name="T6" fmla="+- 0 2629 2135"/>
              <a:gd name="T7" fmla="*/ 2629 h 999"/>
              <a:gd name="T8" fmla="+- 0 8912 8433"/>
              <a:gd name="T9" fmla="*/ T8 w 480"/>
              <a:gd name="T10" fmla="+- 0 2629 2135"/>
              <a:gd name="T11" fmla="*/ 2629 h 999"/>
              <a:gd name="T12" fmla="+- 0 8912 8433"/>
              <a:gd name="T13" fmla="*/ T12 w 480"/>
              <a:gd name="T14" fmla="+- 0 3134 2135"/>
              <a:gd name="T15" fmla="*/ 3134 h 99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480" h="999">
                <a:moveTo>
                  <a:pt x="0" y="0"/>
                </a:moveTo>
                <a:lnTo>
                  <a:pt x="0" y="494"/>
                </a:lnTo>
                <a:lnTo>
                  <a:pt x="479" y="494"/>
                </a:lnTo>
                <a:lnTo>
                  <a:pt x="479" y="999"/>
                </a:lnTo>
              </a:path>
            </a:pathLst>
          </a:custGeom>
          <a:noFill/>
          <a:ln w="19050">
            <a:solidFill>
              <a:srgbClr val="036CB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>
    <xdr:from>
      <xdr:col>14</xdr:col>
      <xdr:colOff>601980</xdr:colOff>
      <xdr:row>12</xdr:row>
      <xdr:rowOff>38100</xdr:rowOff>
    </xdr:from>
    <xdr:to>
      <xdr:col>17</xdr:col>
      <xdr:colOff>137164</xdr:colOff>
      <xdr:row>24</xdr:row>
      <xdr:rowOff>13966</xdr:rowOff>
    </xdr:to>
    <xdr:grpSp>
      <xdr:nvGrpSpPr>
        <xdr:cNvPr id="157" name="Group 156"/>
        <xdr:cNvGrpSpPr/>
      </xdr:nvGrpSpPr>
      <xdr:grpSpPr>
        <a:xfrm>
          <a:off x="11692509" y="2422398"/>
          <a:ext cx="1448947" cy="2162425"/>
          <a:chOff x="0" y="0"/>
          <a:chExt cx="1365885" cy="2171700"/>
        </a:xfrm>
      </xdr:grpSpPr>
      <xdr:grpSp>
        <xdr:nvGrpSpPr>
          <xdr:cNvPr id="158" name="Group 157"/>
          <xdr:cNvGrpSpPr>
            <a:grpSpLocks/>
          </xdr:cNvGrpSpPr>
        </xdr:nvGrpSpPr>
        <xdr:grpSpPr bwMode="auto">
          <a:xfrm>
            <a:off x="251460" y="0"/>
            <a:ext cx="153670" cy="154940"/>
            <a:chOff x="3106" y="1889"/>
            <a:chExt cx="242" cy="244"/>
          </a:xfrm>
        </xdr:grpSpPr>
        <xdr:sp macro="" textlink="">
          <xdr:nvSpPr>
            <xdr:cNvPr id="163" name="Freeform 162"/>
            <xdr:cNvSpPr>
              <a:spLocks/>
            </xdr:cNvSpPr>
          </xdr:nvSpPr>
          <xdr:spPr bwMode="auto">
            <a:xfrm>
              <a:off x="3106" y="1889"/>
              <a:ext cx="242" cy="244"/>
            </a:xfrm>
            <a:custGeom>
              <a:avLst/>
              <a:gdLst>
                <a:gd name="T0" fmla="+- 0 3694 3574"/>
                <a:gd name="T1" fmla="*/ T0 w 242"/>
                <a:gd name="T2" fmla="+- 0 2132 1889"/>
                <a:gd name="T3" fmla="*/ 2132 h 244"/>
                <a:gd name="T4" fmla="+- 0 3758 3574"/>
                <a:gd name="T5" fmla="*/ T4 w 242"/>
                <a:gd name="T6" fmla="+- 0 2114 1889"/>
                <a:gd name="T7" fmla="*/ 2114 h 244"/>
                <a:gd name="T8" fmla="+- 0 3802 3574"/>
                <a:gd name="T9" fmla="*/ T8 w 242"/>
                <a:gd name="T10" fmla="+- 0 2067 1889"/>
                <a:gd name="T11" fmla="*/ 2067 h 244"/>
                <a:gd name="T12" fmla="+- 0 3815 3574"/>
                <a:gd name="T13" fmla="*/ T12 w 242"/>
                <a:gd name="T14" fmla="+- 0 2025 1889"/>
                <a:gd name="T15" fmla="*/ 2025 h 244"/>
                <a:gd name="T16" fmla="+- 0 3814 3574"/>
                <a:gd name="T17" fmla="*/ T16 w 242"/>
                <a:gd name="T18" fmla="+- 0 1999 1889"/>
                <a:gd name="T19" fmla="*/ 1999 h 244"/>
                <a:gd name="T20" fmla="+- 0 3788 3574"/>
                <a:gd name="T21" fmla="*/ T20 w 242"/>
                <a:gd name="T22" fmla="+- 0 1936 1889"/>
                <a:gd name="T23" fmla="*/ 1936 h 244"/>
                <a:gd name="T24" fmla="+- 0 3739 3574"/>
                <a:gd name="T25" fmla="*/ T24 w 242"/>
                <a:gd name="T26" fmla="+- 0 1898 1889"/>
                <a:gd name="T27" fmla="*/ 1898 h 244"/>
                <a:gd name="T28" fmla="+- 0 3698 3574"/>
                <a:gd name="T29" fmla="*/ T28 w 242"/>
                <a:gd name="T30" fmla="+- 0 1889 1889"/>
                <a:gd name="T31" fmla="*/ 1889 h 244"/>
                <a:gd name="T32" fmla="+- 0 3674 3574"/>
                <a:gd name="T33" fmla="*/ T32 w 242"/>
                <a:gd name="T34" fmla="+- 0 1891 1889"/>
                <a:gd name="T35" fmla="*/ 1891 h 244"/>
                <a:gd name="T36" fmla="+- 0 3615 3574"/>
                <a:gd name="T37" fmla="*/ T36 w 242"/>
                <a:gd name="T38" fmla="+- 0 1919 1889"/>
                <a:gd name="T39" fmla="*/ 1919 h 244"/>
                <a:gd name="T40" fmla="+- 0 3579 3574"/>
                <a:gd name="T41" fmla="*/ T40 w 242"/>
                <a:gd name="T42" fmla="+- 0 1973 1889"/>
                <a:gd name="T43" fmla="*/ 1973 h 244"/>
                <a:gd name="T44" fmla="+- 0 3574 3574"/>
                <a:gd name="T45" fmla="*/ T44 w 242"/>
                <a:gd name="T46" fmla="+- 0 1994 1889"/>
                <a:gd name="T47" fmla="*/ 1994 h 244"/>
                <a:gd name="T48" fmla="+- 0 3575 3574"/>
                <a:gd name="T49" fmla="*/ T48 w 242"/>
                <a:gd name="T50" fmla="+- 0 2020 1889"/>
                <a:gd name="T51" fmla="*/ 2020 h 244"/>
                <a:gd name="T52" fmla="+- 0 3600 3574"/>
                <a:gd name="T53" fmla="*/ T52 w 242"/>
                <a:gd name="T54" fmla="+- 0 2084 1889"/>
                <a:gd name="T55" fmla="*/ 2084 h 244"/>
                <a:gd name="T56" fmla="+- 0 3648 3574"/>
                <a:gd name="T57" fmla="*/ T56 w 242"/>
                <a:gd name="T58" fmla="+- 0 2123 1889"/>
                <a:gd name="T59" fmla="*/ 2123 h 244"/>
                <a:gd name="T60" fmla="+- 0 3694 3574"/>
                <a:gd name="T61" fmla="*/ T60 w 242"/>
                <a:gd name="T62" fmla="+- 0 2132 1889"/>
                <a:gd name="T63" fmla="*/ 2132 h 24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</a:cxnLst>
              <a:rect l="0" t="0" r="r" b="b"/>
              <a:pathLst>
                <a:path w="242" h="244">
                  <a:moveTo>
                    <a:pt x="120" y="243"/>
                  </a:moveTo>
                  <a:lnTo>
                    <a:pt x="184" y="225"/>
                  </a:lnTo>
                  <a:lnTo>
                    <a:pt x="228" y="178"/>
                  </a:lnTo>
                  <a:lnTo>
                    <a:pt x="241" y="136"/>
                  </a:lnTo>
                  <a:lnTo>
                    <a:pt x="240" y="110"/>
                  </a:lnTo>
                  <a:lnTo>
                    <a:pt x="214" y="47"/>
                  </a:lnTo>
                  <a:lnTo>
                    <a:pt x="165" y="9"/>
                  </a:lnTo>
                  <a:lnTo>
                    <a:pt x="124" y="0"/>
                  </a:lnTo>
                  <a:lnTo>
                    <a:pt x="100" y="2"/>
                  </a:lnTo>
                  <a:lnTo>
                    <a:pt x="41" y="30"/>
                  </a:lnTo>
                  <a:lnTo>
                    <a:pt x="5" y="84"/>
                  </a:lnTo>
                  <a:lnTo>
                    <a:pt x="0" y="105"/>
                  </a:lnTo>
                  <a:lnTo>
                    <a:pt x="1" y="131"/>
                  </a:lnTo>
                  <a:lnTo>
                    <a:pt x="26" y="195"/>
                  </a:lnTo>
                  <a:lnTo>
                    <a:pt x="74" y="234"/>
                  </a:lnTo>
                  <a:lnTo>
                    <a:pt x="120" y="243"/>
                  </a:lnTo>
                  <a:close/>
                </a:path>
              </a:pathLst>
            </a:custGeom>
            <a:solidFill>
              <a:srgbClr val="FFFFFF"/>
            </a:solidFill>
            <a:ln w="25400">
              <a:solidFill>
                <a:srgbClr val="036CB6"/>
              </a:solidFill>
              <a:round/>
              <a:headEnd/>
              <a:tailEnd/>
            </a:ln>
            <a:extLst/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grpSp>
        <xdr:nvGrpSpPr>
          <xdr:cNvPr id="159" name="Group 158"/>
          <xdr:cNvGrpSpPr>
            <a:grpSpLocks/>
          </xdr:cNvGrpSpPr>
        </xdr:nvGrpSpPr>
        <xdr:grpSpPr bwMode="auto">
          <a:xfrm>
            <a:off x="236220" y="541020"/>
            <a:ext cx="765810" cy="121920"/>
            <a:chOff x="850" y="3141"/>
            <a:chExt cx="2339" cy="2"/>
          </a:xfrm>
        </xdr:grpSpPr>
        <xdr:sp macro="" textlink="">
          <xdr:nvSpPr>
            <xdr:cNvPr id="162" name="Freeform 161"/>
            <xdr:cNvSpPr>
              <a:spLocks/>
            </xdr:cNvSpPr>
          </xdr:nvSpPr>
          <xdr:spPr bwMode="auto">
            <a:xfrm>
              <a:off x="850" y="3141"/>
              <a:ext cx="2339" cy="2"/>
            </a:xfrm>
            <a:custGeom>
              <a:avLst/>
              <a:gdLst>
                <a:gd name="T0" fmla="+- 0 850 850"/>
                <a:gd name="T1" fmla="*/ T0 w 2339"/>
                <a:gd name="T2" fmla="+- 0 3189 850"/>
                <a:gd name="T3" fmla="*/ T2 w 2339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2339">
                  <a:moveTo>
                    <a:pt x="0" y="0"/>
                  </a:moveTo>
                  <a:lnTo>
                    <a:pt x="2339" y="0"/>
                  </a:lnTo>
                </a:path>
              </a:pathLst>
            </a:custGeom>
            <a:noFill/>
            <a:ln w="19050">
              <a:solidFill>
                <a:srgbClr val="036CB6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</xdr:grpSp>
      <xdr:sp macro="" textlink="">
        <xdr:nvSpPr>
          <xdr:cNvPr id="160" name="Text Box 2"/>
          <xdr:cNvSpPr txBox="1">
            <a:spLocks noChangeArrowheads="1"/>
          </xdr:cNvSpPr>
        </xdr:nvSpPr>
        <xdr:spPr bwMode="auto">
          <a:xfrm>
            <a:off x="0" y="571500"/>
            <a:ext cx="1365885" cy="1600200"/>
          </a:xfrm>
          <a:prstGeom prst="rect">
            <a:avLst/>
          </a:prstGeom>
          <a:noFill/>
          <a:ln w="9525">
            <a:solidFill>
              <a:schemeClr val="bg1">
                <a:lumMod val="85000"/>
              </a:scheme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DD</a:t>
            </a:r>
            <a:r>
              <a:rPr lang="en-US" sz="1100" b="1" spc="-155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 </a:t>
            </a: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mmm</a:t>
            </a:r>
            <a:r>
              <a:rPr lang="en-US" sz="1100" b="1" spc="-180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 </a:t>
            </a:r>
            <a:r>
              <a:rPr lang="en-US" sz="1100" b="1">
                <a:solidFill>
                  <a:srgbClr val="036CB6"/>
                </a:solidFill>
                <a:effectLst/>
                <a:latin typeface="Avenir Next Demi Bold"/>
                <a:ea typeface="Calibri"/>
                <a:cs typeface="Arial"/>
              </a:rPr>
              <a:t>yyyy</a:t>
            </a:r>
            <a:r>
              <a:rPr lang="en-US" sz="2000">
                <a:solidFill>
                  <a:srgbClr val="58595B"/>
                </a:solidFill>
                <a:effectLst/>
                <a:latin typeface="Avenir Next"/>
                <a:ea typeface="Calibri"/>
                <a:cs typeface="Arial"/>
              </a:rPr>
              <a:t> </a:t>
            </a:r>
            <a:r>
              <a:rPr lang="en-US" sz="900">
                <a:solidFill>
                  <a:srgbClr val="58595B"/>
                </a:solidFill>
                <a:effectLst/>
                <a:latin typeface="Minion Pro"/>
                <a:ea typeface="Calibri"/>
                <a:cs typeface="Arial"/>
              </a:rPr>
              <a:t>Sharp rise in civilians being targeted by local armed groups. Intimidations linked to the ongoing conflict and historical underlying tensions.</a:t>
            </a:r>
            <a:endParaRPr lang="en-GB" sz="1100">
              <a:effectLst/>
              <a:latin typeface="Calibri"/>
              <a:ea typeface="Calibri"/>
              <a:cs typeface="Arial"/>
            </a:endParaRPr>
          </a:p>
        </xdr:txBody>
      </xdr:sp>
      <xdr:sp macro="" textlink="">
        <xdr:nvSpPr>
          <xdr:cNvPr id="161" name="Freeform 160"/>
          <xdr:cNvSpPr>
            <a:spLocks/>
          </xdr:cNvSpPr>
        </xdr:nvSpPr>
        <xdr:spPr bwMode="auto">
          <a:xfrm>
            <a:off x="312420" y="144780"/>
            <a:ext cx="298450" cy="396240"/>
          </a:xfrm>
          <a:custGeom>
            <a:avLst/>
            <a:gdLst>
              <a:gd name="T0" fmla="+- 0 8433 8433"/>
              <a:gd name="T1" fmla="*/ T0 w 480"/>
              <a:gd name="T2" fmla="+- 0 2135 2135"/>
              <a:gd name="T3" fmla="*/ 2135 h 999"/>
              <a:gd name="T4" fmla="+- 0 8433 8433"/>
              <a:gd name="T5" fmla="*/ T4 w 480"/>
              <a:gd name="T6" fmla="+- 0 2629 2135"/>
              <a:gd name="T7" fmla="*/ 2629 h 999"/>
              <a:gd name="T8" fmla="+- 0 8912 8433"/>
              <a:gd name="T9" fmla="*/ T8 w 480"/>
              <a:gd name="T10" fmla="+- 0 2629 2135"/>
              <a:gd name="T11" fmla="*/ 2629 h 999"/>
              <a:gd name="T12" fmla="+- 0 8912 8433"/>
              <a:gd name="T13" fmla="*/ T12 w 480"/>
              <a:gd name="T14" fmla="+- 0 3134 2135"/>
              <a:gd name="T15" fmla="*/ 3134 h 99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480" h="999">
                <a:moveTo>
                  <a:pt x="0" y="0"/>
                </a:moveTo>
                <a:lnTo>
                  <a:pt x="0" y="494"/>
                </a:lnTo>
                <a:lnTo>
                  <a:pt x="479" y="494"/>
                </a:lnTo>
                <a:lnTo>
                  <a:pt x="479" y="999"/>
                </a:lnTo>
              </a:path>
            </a:pathLst>
          </a:custGeom>
          <a:noFill/>
          <a:ln w="19050">
            <a:solidFill>
              <a:srgbClr val="036CB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>
    <xdr:from>
      <xdr:col>15</xdr:col>
      <xdr:colOff>0</xdr:colOff>
      <xdr:row>5</xdr:row>
      <xdr:rowOff>76201</xdr:rowOff>
    </xdr:from>
    <xdr:to>
      <xdr:col>16</xdr:col>
      <xdr:colOff>274320</xdr:colOff>
      <xdr:row>7</xdr:row>
      <xdr:rowOff>83821</xdr:rowOff>
    </xdr:to>
    <xdr:sp macro="" textlink="$B$25">
      <xdr:nvSpPr>
        <xdr:cNvPr id="164" name="Text Box 2834"/>
        <xdr:cNvSpPr txBox="1"/>
      </xdr:nvSpPr>
      <xdr:spPr>
        <a:xfrm>
          <a:off x="11163300" y="1051561"/>
          <a:ext cx="883920" cy="37338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fld id="{1282C9C6-63DA-4BE3-B6B7-2FFC9AA1F75B}" type="TxLink">
            <a:rPr lang="en-US" sz="2000" b="0" i="0" u="none" strike="noStrike">
              <a:solidFill>
                <a:srgbClr val="005CB8"/>
              </a:solidFill>
              <a:effectLst/>
              <a:latin typeface="Avenir Next" panose="020B0503020202020204" pitchFamily="34" charset="0"/>
              <a:ea typeface="Calibri"/>
              <a:cs typeface="Arial"/>
            </a:rPr>
            <a:pPr>
              <a:spcAft>
                <a:spcPts val="0"/>
              </a:spcAft>
            </a:pPr>
            <a:t>7.8M </a:t>
          </a:fld>
          <a:endParaRPr lang="en-GB" sz="2000">
            <a:solidFill>
              <a:srgbClr val="005CB8"/>
            </a:solidFill>
            <a:effectLst/>
            <a:latin typeface="Avenir Next" panose="020B0503020202020204" pitchFamily="34" charset="0"/>
            <a:ea typeface="Calibri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59263</xdr:colOff>
      <xdr:row>2</xdr:row>
      <xdr:rowOff>76200</xdr:rowOff>
    </xdr:from>
    <xdr:to>
      <xdr:col>2</xdr:col>
      <xdr:colOff>303103</xdr:colOff>
      <xdr:row>3</xdr:row>
      <xdr:rowOff>114300</xdr:rowOff>
    </xdr:to>
    <xdr:pic>
      <xdr:nvPicPr>
        <xdr:cNvPr id="2" name="Picture 8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463" y="1016000"/>
          <a:ext cx="243840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66883</xdr:colOff>
      <xdr:row>2</xdr:row>
      <xdr:rowOff>93981</xdr:rowOff>
    </xdr:from>
    <xdr:to>
      <xdr:col>3</xdr:col>
      <xdr:colOff>310723</xdr:colOff>
      <xdr:row>3</xdr:row>
      <xdr:rowOff>109221</xdr:rowOff>
    </xdr:to>
    <xdr:pic>
      <xdr:nvPicPr>
        <xdr:cNvPr id="3" name="Picture 80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0150" y="1033781"/>
          <a:ext cx="243840" cy="20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99904</xdr:colOff>
      <xdr:row>2</xdr:row>
      <xdr:rowOff>121920</xdr:rowOff>
    </xdr:from>
    <xdr:to>
      <xdr:col>4</xdr:col>
      <xdr:colOff>259924</xdr:colOff>
      <xdr:row>3</xdr:row>
      <xdr:rowOff>83820</xdr:rowOff>
    </xdr:to>
    <xdr:pic>
      <xdr:nvPicPr>
        <xdr:cNvPr id="4" name="Picture 808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237" y="1061720"/>
          <a:ext cx="160020" cy="148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81281</xdr:colOff>
      <xdr:row>2</xdr:row>
      <xdr:rowOff>84666</xdr:rowOff>
    </xdr:from>
    <xdr:to>
      <xdr:col>5</xdr:col>
      <xdr:colOff>325121</xdr:colOff>
      <xdr:row>3</xdr:row>
      <xdr:rowOff>99906</xdr:rowOff>
    </xdr:to>
    <xdr:pic>
      <xdr:nvPicPr>
        <xdr:cNvPr id="5" name="Picture 808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281" y="1024466"/>
          <a:ext cx="243840" cy="20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143083</xdr:colOff>
      <xdr:row>2</xdr:row>
      <xdr:rowOff>53340</xdr:rowOff>
    </xdr:from>
    <xdr:to>
      <xdr:col>6</xdr:col>
      <xdr:colOff>295483</xdr:colOff>
      <xdr:row>3</xdr:row>
      <xdr:rowOff>91440</xdr:rowOff>
    </xdr:to>
    <xdr:pic>
      <xdr:nvPicPr>
        <xdr:cNvPr id="6" name="Picture 808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5483" y="993140"/>
          <a:ext cx="152400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66883</xdr:colOff>
      <xdr:row>2</xdr:row>
      <xdr:rowOff>47414</xdr:rowOff>
    </xdr:from>
    <xdr:to>
      <xdr:col>7</xdr:col>
      <xdr:colOff>272623</xdr:colOff>
      <xdr:row>3</xdr:row>
      <xdr:rowOff>85514</xdr:rowOff>
    </xdr:to>
    <xdr:pic>
      <xdr:nvPicPr>
        <xdr:cNvPr id="7" name="Picture 808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683" y="987214"/>
          <a:ext cx="205740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106677</xdr:colOff>
      <xdr:row>2</xdr:row>
      <xdr:rowOff>68580</xdr:rowOff>
    </xdr:from>
    <xdr:to>
      <xdr:col>8</xdr:col>
      <xdr:colOff>304797</xdr:colOff>
      <xdr:row>3</xdr:row>
      <xdr:rowOff>106680</xdr:rowOff>
    </xdr:to>
    <xdr:pic>
      <xdr:nvPicPr>
        <xdr:cNvPr id="8" name="Picture 808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544" y="1008380"/>
          <a:ext cx="198120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88896</xdr:colOff>
      <xdr:row>2</xdr:row>
      <xdr:rowOff>71121</xdr:rowOff>
    </xdr:from>
    <xdr:to>
      <xdr:col>9</xdr:col>
      <xdr:colOff>226056</xdr:colOff>
      <xdr:row>3</xdr:row>
      <xdr:rowOff>109221</xdr:rowOff>
    </xdr:to>
    <xdr:pic>
      <xdr:nvPicPr>
        <xdr:cNvPr id="9" name="Picture 808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2763" y="1010921"/>
          <a:ext cx="137160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61804</xdr:colOff>
      <xdr:row>2</xdr:row>
      <xdr:rowOff>60960</xdr:rowOff>
    </xdr:from>
    <xdr:to>
      <xdr:col>10</xdr:col>
      <xdr:colOff>290404</xdr:colOff>
      <xdr:row>3</xdr:row>
      <xdr:rowOff>99060</xdr:rowOff>
    </xdr:to>
    <xdr:pic>
      <xdr:nvPicPr>
        <xdr:cNvPr id="10" name="Picture 808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5871" y="1000760"/>
          <a:ext cx="228600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40635</xdr:colOff>
      <xdr:row>2</xdr:row>
      <xdr:rowOff>68580</xdr:rowOff>
    </xdr:from>
    <xdr:to>
      <xdr:col>11</xdr:col>
      <xdr:colOff>261615</xdr:colOff>
      <xdr:row>3</xdr:row>
      <xdr:rowOff>106680</xdr:rowOff>
    </xdr:to>
    <xdr:pic>
      <xdr:nvPicPr>
        <xdr:cNvPr id="11" name="Picture 808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0302" y="1008380"/>
          <a:ext cx="220980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66883</xdr:colOff>
      <xdr:row>2</xdr:row>
      <xdr:rowOff>83820</xdr:rowOff>
    </xdr:from>
    <xdr:to>
      <xdr:col>12</xdr:col>
      <xdr:colOff>310723</xdr:colOff>
      <xdr:row>3</xdr:row>
      <xdr:rowOff>99060</xdr:rowOff>
    </xdr:to>
    <xdr:pic>
      <xdr:nvPicPr>
        <xdr:cNvPr id="12" name="Picture 809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0616" y="1023620"/>
          <a:ext cx="243840" cy="20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58416</xdr:colOff>
      <xdr:row>2</xdr:row>
      <xdr:rowOff>60960</xdr:rowOff>
    </xdr:from>
    <xdr:to>
      <xdr:col>13</xdr:col>
      <xdr:colOff>287016</xdr:colOff>
      <xdr:row>3</xdr:row>
      <xdr:rowOff>99060</xdr:rowOff>
    </xdr:to>
    <xdr:pic>
      <xdr:nvPicPr>
        <xdr:cNvPr id="13" name="Picture 8091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016" y="1000760"/>
          <a:ext cx="228600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110067</xdr:colOff>
      <xdr:row>4</xdr:row>
      <xdr:rowOff>6774</xdr:rowOff>
    </xdr:from>
    <xdr:to>
      <xdr:col>0</xdr:col>
      <xdr:colOff>460587</xdr:colOff>
      <xdr:row>4</xdr:row>
      <xdr:rowOff>235374</xdr:rowOff>
    </xdr:to>
    <xdr:pic>
      <xdr:nvPicPr>
        <xdr:cNvPr id="15" name="Picture 809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7" y="1317414"/>
          <a:ext cx="35052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130387</xdr:colOff>
      <xdr:row>6</xdr:row>
      <xdr:rowOff>41486</xdr:rowOff>
    </xdr:from>
    <xdr:to>
      <xdr:col>0</xdr:col>
      <xdr:colOff>480907</xdr:colOff>
      <xdr:row>6</xdr:row>
      <xdr:rowOff>270086</xdr:rowOff>
    </xdr:to>
    <xdr:pic>
      <xdr:nvPicPr>
        <xdr:cNvPr id="16" name="Picture 809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87" y="1916006"/>
          <a:ext cx="35052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98213</xdr:colOff>
      <xdr:row>7</xdr:row>
      <xdr:rowOff>77893</xdr:rowOff>
    </xdr:from>
    <xdr:to>
      <xdr:col>0</xdr:col>
      <xdr:colOff>448733</xdr:colOff>
      <xdr:row>7</xdr:row>
      <xdr:rowOff>307340</xdr:rowOff>
    </xdr:to>
    <xdr:pic>
      <xdr:nvPicPr>
        <xdr:cNvPr id="17" name="Picture 809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3" y="2264833"/>
          <a:ext cx="350520" cy="229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93134</xdr:colOff>
      <xdr:row>8</xdr:row>
      <xdr:rowOff>45720</xdr:rowOff>
    </xdr:from>
    <xdr:to>
      <xdr:col>0</xdr:col>
      <xdr:colOff>443654</xdr:colOff>
      <xdr:row>8</xdr:row>
      <xdr:rowOff>275166</xdr:rowOff>
    </xdr:to>
    <xdr:pic>
      <xdr:nvPicPr>
        <xdr:cNvPr id="18" name="Picture 809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4" y="2545080"/>
          <a:ext cx="350520" cy="229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95673</xdr:colOff>
      <xdr:row>9</xdr:row>
      <xdr:rowOff>49107</xdr:rowOff>
    </xdr:from>
    <xdr:to>
      <xdr:col>0</xdr:col>
      <xdr:colOff>446193</xdr:colOff>
      <xdr:row>9</xdr:row>
      <xdr:rowOff>278554</xdr:rowOff>
    </xdr:to>
    <xdr:pic>
      <xdr:nvPicPr>
        <xdr:cNvPr id="19" name="Picture 809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3" y="2860887"/>
          <a:ext cx="350520" cy="229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65193</xdr:colOff>
      <xdr:row>10</xdr:row>
      <xdr:rowOff>17780</xdr:rowOff>
    </xdr:from>
    <xdr:to>
      <xdr:col>0</xdr:col>
      <xdr:colOff>415713</xdr:colOff>
      <xdr:row>10</xdr:row>
      <xdr:rowOff>247227</xdr:rowOff>
    </xdr:to>
    <xdr:pic>
      <xdr:nvPicPr>
        <xdr:cNvPr id="20" name="Picture 809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93" y="3141980"/>
          <a:ext cx="350520" cy="229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41487</xdr:colOff>
      <xdr:row>11</xdr:row>
      <xdr:rowOff>29634</xdr:rowOff>
    </xdr:from>
    <xdr:to>
      <xdr:col>0</xdr:col>
      <xdr:colOff>392007</xdr:colOff>
      <xdr:row>11</xdr:row>
      <xdr:rowOff>258234</xdr:rowOff>
    </xdr:to>
    <xdr:pic>
      <xdr:nvPicPr>
        <xdr:cNvPr id="21" name="Picture 809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3466254"/>
          <a:ext cx="35052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19472</xdr:colOff>
      <xdr:row>12</xdr:row>
      <xdr:rowOff>54186</xdr:rowOff>
    </xdr:from>
    <xdr:to>
      <xdr:col>0</xdr:col>
      <xdr:colOff>369992</xdr:colOff>
      <xdr:row>12</xdr:row>
      <xdr:rowOff>282786</xdr:rowOff>
    </xdr:to>
    <xdr:pic>
      <xdr:nvPicPr>
        <xdr:cNvPr id="22" name="Picture 810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2" y="3803226"/>
          <a:ext cx="35052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35559</xdr:colOff>
      <xdr:row>13</xdr:row>
      <xdr:rowOff>42333</xdr:rowOff>
    </xdr:from>
    <xdr:to>
      <xdr:col>0</xdr:col>
      <xdr:colOff>386079</xdr:colOff>
      <xdr:row>13</xdr:row>
      <xdr:rowOff>270933</xdr:rowOff>
    </xdr:to>
    <xdr:pic>
      <xdr:nvPicPr>
        <xdr:cNvPr id="23" name="Picture 810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59" y="4103793"/>
          <a:ext cx="35052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53340</xdr:colOff>
      <xdr:row>14</xdr:row>
      <xdr:rowOff>32174</xdr:rowOff>
    </xdr:from>
    <xdr:to>
      <xdr:col>0</xdr:col>
      <xdr:colOff>403860</xdr:colOff>
      <xdr:row>14</xdr:row>
      <xdr:rowOff>260774</xdr:rowOff>
    </xdr:to>
    <xdr:pic>
      <xdr:nvPicPr>
        <xdr:cNvPr id="24" name="Picture 810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406054"/>
          <a:ext cx="35052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131233</xdr:colOff>
      <xdr:row>5</xdr:row>
      <xdr:rowOff>41487</xdr:rowOff>
    </xdr:from>
    <xdr:to>
      <xdr:col>0</xdr:col>
      <xdr:colOff>481753</xdr:colOff>
      <xdr:row>5</xdr:row>
      <xdr:rowOff>270087</xdr:rowOff>
    </xdr:to>
    <xdr:pic>
      <xdr:nvPicPr>
        <xdr:cNvPr id="25" name="Picture 809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33" y="1603587"/>
          <a:ext cx="35052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Sector" displayName="TblSector" ref="A7:G16" totalsRowShown="0" headerRowDxfId="101" dataDxfId="99" headerRowBorderDxfId="100" dataCellStyle="Comma">
  <tableColumns count="7">
    <tableColumn id="1" name="Sector" dataDxfId="98"/>
    <tableColumn id="2" name="IDPs" dataDxfId="97" dataCellStyle="Comma"/>
    <tableColumn id="3" name="Refugees" dataDxfId="96" dataCellStyle="Comma"/>
    <tableColumn id="4" name="Migrant" dataDxfId="95" dataCellStyle="Comma"/>
    <tableColumn id="5" name="Returnees" dataDxfId="94" dataCellStyle="Comma"/>
    <tableColumn id="6" name="Host Communities" dataDxfId="93" dataCellStyle="Comma"/>
    <tableColumn id="7" name="Lorem Ipsum" dataDxfId="92" dataCellStyle="Com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7:T16" totalsRowShown="0" headerRowDxfId="91" dataDxfId="89" headerRowBorderDxfId="90" dataCellStyle="Comma">
  <tableColumns count="12">
    <tableColumn id="1" name="Female" dataDxfId="88" dataCellStyle="Comma"/>
    <tableColumn id="2" name="Male" dataDxfId="87" dataCellStyle="Comma"/>
    <tableColumn id="3" name="Children (&lt;18 years)" dataDxfId="86" dataCellStyle="Comma"/>
    <tableColumn id="9" name="Children (&lt;18 years) %" dataDxfId="85" dataCellStyle="Comma">
      <calculatedColumnFormula>IFERROR(Table2[[#This Row],[Children (&lt;18 years)]]/SUM(Table2[[#This Row],[Children (&lt;18 years)]],Table2[[#This Row],[Adult (18-59 years)]],Table2[[#This Row],[Elderly (&gt;59 years)]]),"-")*100</calculatedColumnFormula>
    </tableColumn>
    <tableColumn id="4" name="Adult (18-59 years)" dataDxfId="84" dataCellStyle="Comma"/>
    <tableColumn id="10" name="Adult (18-59 years)%" dataDxfId="83" dataCellStyle="Comma">
      <calculatedColumnFormula>IFERROR(Table2[[#This Row],[Adult (18-59 years)]]/SUM(Table2[[#This Row],[Children (&lt;18 years)]],Table2[[#This Row],[Adult (18-59 years)]],Table2[[#This Row],[Elderly (&gt;59 years)]]),"-")*100</calculatedColumnFormula>
    </tableColumn>
    <tableColumn id="5" name="Elderly (&gt;59 years)" dataDxfId="82" dataCellStyle="Comma"/>
    <tableColumn id="11" name="Elderly (&gt;59 years)%" dataDxfId="81" dataCellStyle="Percent">
      <calculatedColumnFormula>IFERROR(Table2[[#This Row],[Elderly (&gt;59 years)]]/SUM(Table2[[#This Row],[Children (&lt;18 years)]],Table2[[#This Row],[Adult (18-59 years)]],Table2[[#This Row],[Elderly (&gt;59 years)]]),"-")*100</calculatedColumnFormula>
    </tableColumn>
    <tableColumn id="6" name="In Need" dataDxfId="80" dataCellStyle="Comma">
      <calculatedColumnFormula>IF(OR(SUM(TblSector[#This Row])&lt;&gt;SUM(Table2[[#This Row],[Female]:[Male]]),SUM(TblSector[#This Row])&lt;&gt;SUM(Table2[[#This Row],[Children (&lt;18 years)]],Table2[[#This Row],[Adult (18-59 years)]],Table2[[#This Row],[Elderly (&gt;59 years)]])),"Error",SUM(TblSector[#This Row]))</calculatedColumnFormula>
    </tableColumn>
    <tableColumn id="7" name="Total Affected" dataDxfId="79" dataCellStyle="Comma"/>
    <tableColumn id="8" name="Female %" dataDxfId="78" dataCellStyle="Comma">
      <calculatedColumnFormula>Table2[[#This Row],[Female]]/SUM(Table2[[#This Row],[Female]:[Male]])</calculatedColumnFormula>
    </tableColumn>
    <tableColumn id="12" name="Male %" dataDxfId="77" dataCellStyle="Comma">
      <calculatedColumnFormula>Table2[[#This Row],[Male]]/SUM(Table2[[#This Row],[Female]:[Male]])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blLoc" displayName="TblLoc" ref="A7:G16" totalsRowShown="0" headerRowDxfId="76" dataDxfId="74" headerRowBorderDxfId="75" dataCellStyle="Comma">
  <tableColumns count="7">
    <tableColumn id="1" name="Location" dataDxfId="73"/>
    <tableColumn id="2" name="IDPs" dataDxfId="72" dataCellStyle="Comma"/>
    <tableColumn id="3" name="Refugees" dataDxfId="71" dataCellStyle="Comma"/>
    <tableColumn id="4" name="Migrant" dataDxfId="70" dataCellStyle="Comma"/>
    <tableColumn id="5" name="Returnees" dataDxfId="69" dataCellStyle="Comma"/>
    <tableColumn id="6" name="Host Communities" dataDxfId="68" dataCellStyle="Comma"/>
    <tableColumn id="7" name="Lorem Ipsum" dataDxfId="67" dataCellStyle="Comm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28" displayName="Table28" ref="I7:T16" totalsRowShown="0" headerRowDxfId="66" dataDxfId="64" headerRowBorderDxfId="65" dataCellStyle="Comma">
  <tableColumns count="12">
    <tableColumn id="1" name="Female" dataDxfId="63" dataCellStyle="Comma"/>
    <tableColumn id="2" name="Male" dataDxfId="62" dataCellStyle="Comma"/>
    <tableColumn id="3" name="Children (&lt;18 years)" dataDxfId="61" dataCellStyle="Comma"/>
    <tableColumn id="9" name="Children (&lt;18 years) %" dataDxfId="60" dataCellStyle="Comma">
      <calculatedColumnFormula>IFERROR(Table28[[#This Row],[Children (&lt;18 years)]]/SUM(Table28[[#This Row],[Children (&lt;18 years)]],Table28[[#This Row],[Adult (18-59 years)]],Table28[[#This Row],[Elderly (&gt;59 years)]]),"-")*100</calculatedColumnFormula>
    </tableColumn>
    <tableColumn id="4" name="Adult (18-59 years)" dataDxfId="59" dataCellStyle="Comma"/>
    <tableColumn id="10" name="Adult (18-59 years)%" dataDxfId="58" dataCellStyle="Comma">
      <calculatedColumnFormula>IFERROR(Table28[[#This Row],[Adult (18-59 years)]]/SUM(Table28[[#This Row],[Children (&lt;18 years)]],Table28[[#This Row],[Adult (18-59 years)]],Table28[[#This Row],[Elderly (&gt;59 years)]]),"-")*100</calculatedColumnFormula>
    </tableColumn>
    <tableColumn id="5" name="Elderly (&gt;59 years)" dataDxfId="57" dataCellStyle="Comma"/>
    <tableColumn id="11" name="Elderly (&gt;59 years)%" dataDxfId="56" dataCellStyle="Percent">
      <calculatedColumnFormula>IFERROR(Table28[[#This Row],[Elderly (&gt;59 years)]]/SUM(Table28[[#This Row],[Children (&lt;18 years)]],Table28[[#This Row],[Adult (18-59 years)]],Table28[[#This Row],[Elderly (&gt;59 years)]]),"-")*100</calculatedColumnFormula>
    </tableColumn>
    <tableColumn id="6" name="In Need" dataDxfId="55" dataCellStyle="Comma">
      <calculatedColumnFormula>IF(OR(SUM(TblLoc[#This Row])&lt;&gt;SUM(Table28[[#This Row],[Female]:[Male]]),SUM(TblLoc[#This Row])&lt;&gt;SUM(Table28[[#This Row],[Children (&lt;18 years)]],Table28[[#This Row],[Adult (18-59 years)]],Table28[[#This Row],[Elderly (&gt;59 years)]])),"Error",SUM(TblLoc[#This Row]))</calculatedColumnFormula>
    </tableColumn>
    <tableColumn id="7" name="Total Affected" dataDxfId="54" dataCellStyle="Comma"/>
    <tableColumn id="8" name="Female %" dataDxfId="53" dataCellStyle="Comma">
      <calculatedColumnFormula>Table28[[#This Row],[Female]]/SUM(Table28[[#This Row],[Female]:[Male]])</calculatedColumnFormula>
    </tableColumn>
    <tableColumn id="12" name="Male %" dataDxfId="52" dataCellStyle="Comma">
      <calculatedColumnFormula>Table28[[#This Row],[Male]]/SUM(Table28[[#This Row],[Female]:[Male]])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4" name="TblSector5" displayName="TblSector5" ref="A7:G16" totalsRowShown="0" headerRowDxfId="51" dataDxfId="49" headerRowBorderDxfId="50" dataCellStyle="Comma">
  <tableColumns count="7">
    <tableColumn id="1" name="Sector" dataDxfId="48"/>
    <tableColumn id="2" name="IDPs" dataDxfId="47" dataCellStyle="Comma"/>
    <tableColumn id="3" name="Refugees" dataDxfId="46" dataCellStyle="Comma"/>
    <tableColumn id="4" name="Migrant" dataDxfId="45" dataCellStyle="Comma"/>
    <tableColumn id="5" name="Returnees" dataDxfId="44" dataCellStyle="Comma"/>
    <tableColumn id="6" name="Host Communities" dataDxfId="43" dataCellStyle="Comma"/>
    <tableColumn id="7" name="Lorem Ipsum" dataDxfId="42" dataCellStyle="Comma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" name="Table26" displayName="Table26" ref="I7:T16" totalsRowShown="0" headerRowDxfId="41" dataDxfId="39" headerRowBorderDxfId="40" dataCellStyle="Comma">
  <tableColumns count="12">
    <tableColumn id="1" name="Female" dataDxfId="38" dataCellStyle="Comma"/>
    <tableColumn id="2" name="Male" dataDxfId="37" dataCellStyle="Comma"/>
    <tableColumn id="3" name="Children (&lt;18 years) " dataDxfId="36" dataCellStyle="Comma"/>
    <tableColumn id="9" name="Children (&lt;18 years)" dataDxfId="35" dataCellStyle="Percent">
      <calculatedColumnFormula>IFERROR(Table26[[#This Row],[Children (&lt;18 years) ]]/SUM(Table26[[#This Row],[Children (&lt;18 years) ]],Table26[[#This Row],[Adult (18-59 years) ]],Table26[[#This Row],[Elderly (&gt;59 years) ]]),"-")</calculatedColumnFormula>
    </tableColumn>
    <tableColumn id="4" name="Adult (18-59 years) " dataDxfId="34" dataCellStyle="Comma"/>
    <tableColumn id="10" name="Adult (18-59 years)" dataDxfId="33" dataCellStyle="Percent">
      <calculatedColumnFormula>IFERROR(Table26[[#This Row],[Adult (18-59 years) ]]/SUM(Table26[[#This Row],[Children (&lt;18 years) ]],Table26[[#This Row],[Adult (18-59 years) ]],Table26[[#This Row],[Elderly (&gt;59 years) ]]),"-")</calculatedColumnFormula>
    </tableColumn>
    <tableColumn id="5" name="Elderly (&gt;59 years) " dataDxfId="32" dataCellStyle="Comma"/>
    <tableColumn id="11" name="Elderly (&gt;59 years)" dataDxfId="31" dataCellStyle="Comma">
      <calculatedColumnFormula>IFERROR(Table26[[#This Row],[Elderly (&gt;59 years) ]]/SUM(Table26[[#This Row],[Children (&lt;18 years) ]],Table26[[#This Row],[Adult (18-59 years) ]],Table26[[#This Row],[Elderly (&gt;59 years) ]]),"-")</calculatedColumnFormula>
    </tableColumn>
    <tableColumn id="6" name="In Need" dataDxfId="30" dataCellStyle="Comma">
      <calculatedColumnFormula>IF(OR(SUM(TblSector5[#This Row])&lt;&gt;SUM(Table26[[#This Row],[Female]:[Male]]),SUM(TblSector5[#This Row])&lt;&gt;SUM(Table26[[#This Row],[Children (&lt;18 years) ]],Table26[[#This Row],[Adult (18-59 years) ]],Table26[[#This Row],[Elderly (&gt;59 years) ]])),"Error",SUM(TblSector5[#This Row]))</calculatedColumnFormula>
    </tableColumn>
    <tableColumn id="7" name="Total Affected" dataDxfId="29" dataCellStyle="Comma"/>
    <tableColumn id="8" name="Female %" dataDxfId="28" dataCellStyle="Comma">
      <calculatedColumnFormula>Table26[[#This Row],[Female]]/SUM(Table26[[#This Row],[Female]:[Male]])</calculatedColumnFormula>
    </tableColumn>
    <tableColumn id="12" name="Male %" dataDxfId="27" dataCellStyle="Comma">
      <calculatedColumnFormula>Table26[[#This Row],[Male]]/SUM(Table26[[#This Row],[Female]:[Male]])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3" name="Table3" displayName="Table3" ref="A3:D25" totalsRowCount="1" headerRowDxfId="14" headerRowBorderDxfId="13">
  <autoFilter ref="A3:D24"/>
  <tableColumns count="4">
    <tableColumn id="1" name="Date" dataDxfId="12" totalsRowDxfId="11"/>
    <tableColumn id="2" name="IDPs" totalsRowFunction="sum" dataDxfId="10" totalsRowDxfId="9" dataCellStyle="Comma"/>
    <tableColumn id="3" name="Refugees" dataDxfId="8" totalsRowDxfId="7" dataCellStyle="Comma"/>
    <tableColumn id="4" name="Vulnerable returnees" dataDxfId="6" totalsRowDxfId="5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B1:R21"/>
  <sheetViews>
    <sheetView showGridLines="0" showRowColHeaders="0" zoomScale="140" zoomScaleNormal="140" workbookViewId="0">
      <selection activeCell="C2" sqref="C2"/>
    </sheetView>
  </sheetViews>
  <sheetFormatPr defaultRowHeight="15" zeroHeight="1"/>
  <cols>
    <col min="1" max="1" width="1.42578125" customWidth="1"/>
    <col min="2" max="14" width="9.140625" customWidth="1"/>
  </cols>
  <sheetData>
    <row r="1" spans="2:18" ht="31.5">
      <c r="B1" s="24" t="s">
        <v>32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8"/>
    <row r="3" spans="2:18" ht="18.75">
      <c r="B3" s="25" t="s">
        <v>30</v>
      </c>
      <c r="C3" s="15"/>
      <c r="D3" s="15"/>
      <c r="E3" s="15"/>
      <c r="F3" s="15"/>
      <c r="H3" s="25" t="s">
        <v>31</v>
      </c>
      <c r="I3" s="15"/>
      <c r="J3" s="15"/>
      <c r="K3" s="15"/>
      <c r="L3" s="15"/>
      <c r="N3" s="25" t="s">
        <v>47</v>
      </c>
      <c r="O3" s="15"/>
      <c r="P3" s="15"/>
      <c r="Q3" s="15"/>
      <c r="R3" s="15"/>
    </row>
    <row r="4" spans="2:18"/>
    <row r="5" spans="2:18">
      <c r="C5" s="7"/>
      <c r="D5" s="7"/>
      <c r="E5" s="7"/>
      <c r="F5" s="7"/>
    </row>
    <row r="6" spans="2:18"/>
    <row r="7" spans="2:18"/>
    <row r="8" spans="2:18"/>
    <row r="9" spans="2:18"/>
    <row r="10" spans="2:18"/>
    <row r="11" spans="2:18"/>
    <row r="12" spans="2:18"/>
    <row r="13" spans="2:18"/>
    <row r="14" spans="2:18"/>
    <row r="15" spans="2:18"/>
    <row r="16" spans="2:18"/>
    <row r="17"/>
    <row r="18"/>
    <row r="19"/>
    <row r="20"/>
    <row r="2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9" tint="-0.249977111117893"/>
  </sheetPr>
  <dimension ref="A1:CE56"/>
  <sheetViews>
    <sheetView showGridLines="0" topLeftCell="A24" zoomScale="80" zoomScaleNormal="80" workbookViewId="0">
      <selection activeCell="M35" sqref="M35"/>
    </sheetView>
  </sheetViews>
  <sheetFormatPr defaultRowHeight="15"/>
  <cols>
    <col min="1" max="1" width="24.140625" customWidth="1"/>
    <col min="2" max="3" width="11.140625" customWidth="1"/>
    <col min="4" max="4" width="9.42578125" customWidth="1"/>
    <col min="5" max="5" width="9" customWidth="1"/>
    <col min="6" max="6" width="11" customWidth="1"/>
    <col min="7" max="7" width="15.140625" customWidth="1"/>
    <col min="8" max="8" width="7.5703125" customWidth="1"/>
    <col min="9" max="11" width="10.85546875" customWidth="1"/>
    <col min="12" max="12" width="6.28515625" customWidth="1"/>
    <col min="13" max="13" width="10.85546875" customWidth="1"/>
    <col min="14" max="14" width="7" customWidth="1"/>
    <col min="15" max="18" width="10.85546875" customWidth="1"/>
    <col min="19" max="20" width="11.5703125" customWidth="1"/>
    <col min="27" max="27" width="13.42578125" customWidth="1"/>
    <col min="30" max="32" width="13.42578125" customWidth="1"/>
    <col min="33" max="33" width="10.28515625" bestFit="1" customWidth="1"/>
  </cols>
  <sheetData>
    <row r="1" spans="1:83" ht="28.5">
      <c r="A1" s="4" t="s">
        <v>15</v>
      </c>
      <c r="I1" s="4" t="s">
        <v>15</v>
      </c>
    </row>
    <row r="2" spans="1:83">
      <c r="A2" s="5" t="s">
        <v>16</v>
      </c>
      <c r="B2" s="5"/>
      <c r="C2" s="5"/>
      <c r="D2" s="5"/>
      <c r="E2" s="5"/>
      <c r="F2" s="5"/>
      <c r="G2" s="5"/>
      <c r="H2" s="5"/>
      <c r="I2" s="5" t="s">
        <v>16</v>
      </c>
      <c r="J2" s="5"/>
      <c r="K2" s="5"/>
      <c r="L2" s="5"/>
      <c r="M2" s="5"/>
      <c r="N2" s="5"/>
      <c r="O2" s="5"/>
      <c r="P2" s="5"/>
      <c r="Q2" s="5"/>
      <c r="R2" s="5"/>
      <c r="S2" s="5"/>
    </row>
    <row r="3" spans="1:83" ht="8.25" customHeight="1"/>
    <row r="4" spans="1:83" ht="23.25" customHeight="1">
      <c r="A4" s="157" t="s">
        <v>34</v>
      </c>
      <c r="B4" s="157"/>
      <c r="C4" s="157"/>
      <c r="D4" s="157"/>
      <c r="E4" s="8"/>
      <c r="F4" s="8"/>
      <c r="G4" s="8"/>
      <c r="H4" s="8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8"/>
    </row>
    <row r="6" spans="1:83">
      <c r="B6" t="s">
        <v>66</v>
      </c>
    </row>
    <row r="7" spans="1:83" ht="63" customHeight="1">
      <c r="A7" s="15" t="s">
        <v>36</v>
      </c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29" t="s">
        <v>8</v>
      </c>
      <c r="I7" s="66" t="s">
        <v>53</v>
      </c>
      <c r="J7" s="67" t="s">
        <v>52</v>
      </c>
      <c r="K7" s="66" t="s">
        <v>49</v>
      </c>
      <c r="L7" s="66" t="s">
        <v>79</v>
      </c>
      <c r="M7" s="66" t="s">
        <v>50</v>
      </c>
      <c r="N7" s="66" t="s">
        <v>80</v>
      </c>
      <c r="O7" s="67" t="s">
        <v>51</v>
      </c>
      <c r="P7" s="66" t="s">
        <v>81</v>
      </c>
      <c r="Q7" s="66" t="s">
        <v>65</v>
      </c>
      <c r="R7" s="66" t="s">
        <v>70</v>
      </c>
      <c r="S7" s="66" t="s">
        <v>78</v>
      </c>
      <c r="T7" s="66" t="s">
        <v>82</v>
      </c>
    </row>
    <row r="8" spans="1:83" ht="15" customHeight="1">
      <c r="A8" s="28" t="s">
        <v>75</v>
      </c>
      <c r="B8" s="80">
        <v>600000</v>
      </c>
      <c r="C8" s="80">
        <v>300000</v>
      </c>
      <c r="D8" s="80">
        <v>200000</v>
      </c>
      <c r="E8" s="80">
        <v>200000</v>
      </c>
      <c r="F8" s="80">
        <v>100000</v>
      </c>
      <c r="G8" s="80">
        <v>100000</v>
      </c>
      <c r="I8" s="64">
        <v>950000</v>
      </c>
      <c r="J8" s="65">
        <v>550000</v>
      </c>
      <c r="K8" s="64">
        <v>550000</v>
      </c>
      <c r="L8" s="79">
        <f>IFERROR(Table2[[#This Row],[Children (&lt;18 years)]]/SUM(Table2[[#This Row],[Children (&lt;18 years)]],Table2[[#This Row],[Adult (18-59 years)]],Table2[[#This Row],[Elderly (&gt;59 years)]]),"-")*100</f>
        <v>36.666666666666664</v>
      </c>
      <c r="M8" s="64">
        <v>750000</v>
      </c>
      <c r="N8" s="79">
        <f>IFERROR(Table2[[#This Row],[Adult (18-59 years)]]/SUM(Table2[[#This Row],[Children (&lt;18 years)]],Table2[[#This Row],[Adult (18-59 years)]],Table2[[#This Row],[Elderly (&gt;59 years)]]),"-")*100</f>
        <v>50</v>
      </c>
      <c r="O8" s="65">
        <v>200000</v>
      </c>
      <c r="P8" s="79">
        <f>IFERROR(Table2[[#This Row],[Elderly (&gt;59 years)]]/SUM(Table2[[#This Row],[Children (&lt;18 years)]],Table2[[#This Row],[Adult (18-59 years)]],Table2[[#This Row],[Elderly (&gt;59 years)]]),"-")*100</f>
        <v>13.333333333333334</v>
      </c>
      <c r="Q8" s="70">
        <f>IF(OR(SUM(TblSector[#This Row])&lt;&gt;SUM(Table2[[#This Row],[Female]:[Male]]),SUM(TblSector[#This Row])&lt;&gt;SUM(Table2[[#This Row],[Children (&lt;18 years)]],Table2[[#This Row],[Adult (18-59 years)]],Table2[[#This Row],[Elderly (&gt;59 years)]])),"Error",SUM(TblSector[#This Row]))</f>
        <v>1500000</v>
      </c>
      <c r="R8" s="122">
        <v>3555000</v>
      </c>
      <c r="S8" s="77">
        <f>Table2[[#This Row],[Female]]/SUM(Table2[[#This Row],[Female]:[Male]])</f>
        <v>0.6333333333333333</v>
      </c>
      <c r="T8" s="78">
        <f>Table2[[#This Row],[Male]]/SUM(Table2[[#This Row],[Female]:[Male]])</f>
        <v>0.36666666666666664</v>
      </c>
    </row>
    <row r="9" spans="1:83" ht="14.25" customHeight="1">
      <c r="A9" s="76" t="s">
        <v>76</v>
      </c>
      <c r="B9" s="80">
        <v>500000</v>
      </c>
      <c r="C9" s="80">
        <v>300000</v>
      </c>
      <c r="D9" s="80">
        <v>200000</v>
      </c>
      <c r="E9" s="80">
        <v>0</v>
      </c>
      <c r="F9" s="80">
        <v>200000</v>
      </c>
      <c r="G9" s="80">
        <v>0</v>
      </c>
      <c r="I9" s="64">
        <v>800000</v>
      </c>
      <c r="J9" s="65">
        <v>400000</v>
      </c>
      <c r="K9" s="64">
        <v>300000</v>
      </c>
      <c r="L9" s="79">
        <f>IFERROR(Table2[[#This Row],[Children (&lt;18 years)]]/SUM(Table2[[#This Row],[Children (&lt;18 years)]],Table2[[#This Row],[Adult (18-59 years)]],Table2[[#This Row],[Elderly (&gt;59 years)]]),"-")*100</f>
        <v>25</v>
      </c>
      <c r="M9" s="64">
        <v>800000</v>
      </c>
      <c r="N9" s="79">
        <f>IFERROR(Table2[[#This Row],[Adult (18-59 years)]]/SUM(Table2[[#This Row],[Children (&lt;18 years)]],Table2[[#This Row],[Adult (18-59 years)]],Table2[[#This Row],[Elderly (&gt;59 years)]]),"-")*100</f>
        <v>66.666666666666657</v>
      </c>
      <c r="O9" s="65">
        <v>100000</v>
      </c>
      <c r="P9" s="79">
        <f>IFERROR(Table2[[#This Row],[Elderly (&gt;59 years)]]/SUM(Table2[[#This Row],[Children (&lt;18 years)]],Table2[[#This Row],[Adult (18-59 years)]],Table2[[#This Row],[Elderly (&gt;59 years)]]),"-")*100</f>
        <v>8.3333333333333321</v>
      </c>
      <c r="Q9" s="68">
        <f>IF(OR(SUM(TblSector[#This Row])&lt;&gt;SUM(Table2[[#This Row],[Female]:[Male]]),SUM(TblSector[#This Row])&lt;&gt;SUM(Table2[[#This Row],[Children (&lt;18 years)]],Table2[[#This Row],[Adult (18-59 years)]],Table2[[#This Row],[Elderly (&gt;59 years)]])),"Error",SUM(TblSector[#This Row]))</f>
        <v>1200000</v>
      </c>
      <c r="R9" s="122">
        <v>1536000</v>
      </c>
      <c r="S9" s="77">
        <f>Table2[[#This Row],[Female]]/SUM(Table2[[#This Row],[Female]:[Male]])</f>
        <v>0.66666666666666663</v>
      </c>
      <c r="T9" s="78">
        <f>Table2[[#This Row],[Male]]/SUM(Table2[[#This Row],[Female]:[Male]])</f>
        <v>0.33333333333333331</v>
      </c>
    </row>
    <row r="10" spans="1:83">
      <c r="A10" s="28" t="s">
        <v>9</v>
      </c>
      <c r="B10" s="80">
        <v>400000</v>
      </c>
      <c r="C10" s="80">
        <v>200000</v>
      </c>
      <c r="D10" s="80">
        <v>100000</v>
      </c>
      <c r="E10" s="80">
        <v>400000</v>
      </c>
      <c r="F10" s="80">
        <v>100000</v>
      </c>
      <c r="G10" s="80">
        <v>0</v>
      </c>
      <c r="I10" s="64">
        <v>750000</v>
      </c>
      <c r="J10" s="65">
        <v>450000</v>
      </c>
      <c r="K10" s="64">
        <v>350000</v>
      </c>
      <c r="L10" s="79">
        <f>IFERROR(Table2[[#This Row],[Children (&lt;18 years)]]/SUM(Table2[[#This Row],[Children (&lt;18 years)]],Table2[[#This Row],[Adult (18-59 years)]],Table2[[#This Row],[Elderly (&gt;59 years)]]),"-")*100</f>
        <v>29.166666666666668</v>
      </c>
      <c r="M10" s="64">
        <v>750000</v>
      </c>
      <c r="N10" s="79">
        <f>IFERROR(Table2[[#This Row],[Adult (18-59 years)]]/SUM(Table2[[#This Row],[Children (&lt;18 years)]],Table2[[#This Row],[Adult (18-59 years)]],Table2[[#This Row],[Elderly (&gt;59 years)]]),"-")*100</f>
        <v>62.5</v>
      </c>
      <c r="O10" s="65">
        <v>100000</v>
      </c>
      <c r="P10" s="79">
        <f>IFERROR(Table2[[#This Row],[Elderly (&gt;59 years)]]/SUM(Table2[[#This Row],[Children (&lt;18 years)]],Table2[[#This Row],[Adult (18-59 years)]],Table2[[#This Row],[Elderly (&gt;59 years)]]),"-")*100</f>
        <v>8.3333333333333321</v>
      </c>
      <c r="Q10" s="68">
        <f>IF(OR(SUM(TblSector[#This Row])&lt;&gt;SUM(Table2[[#This Row],[Female]:[Male]]),SUM(TblSector[#This Row])&lt;&gt;SUM(Table2[[#This Row],[Children (&lt;18 years)]],Table2[[#This Row],[Adult (18-59 years)]],Table2[[#This Row],[Elderly (&gt;59 years)]])),"Error",SUM(TblSector[#This Row]))</f>
        <v>1200000</v>
      </c>
      <c r="R10" s="122">
        <v>2220000</v>
      </c>
      <c r="S10" s="77">
        <f>Table2[[#This Row],[Female]]/SUM(Table2[[#This Row],[Female]:[Male]])</f>
        <v>0.625</v>
      </c>
      <c r="T10" s="78">
        <f>Table2[[#This Row],[Male]]/SUM(Table2[[#This Row],[Female]:[Male]])</f>
        <v>0.375</v>
      </c>
    </row>
    <row r="11" spans="1:83">
      <c r="A11" s="28" t="s">
        <v>12</v>
      </c>
      <c r="B11" s="80">
        <v>200000</v>
      </c>
      <c r="C11" s="80">
        <v>100000</v>
      </c>
      <c r="D11" s="80">
        <v>0</v>
      </c>
      <c r="E11" s="80">
        <v>100000</v>
      </c>
      <c r="F11" s="80">
        <v>200000</v>
      </c>
      <c r="G11" s="80">
        <v>0</v>
      </c>
      <c r="I11" s="64">
        <v>340000</v>
      </c>
      <c r="J11" s="65">
        <v>260000</v>
      </c>
      <c r="K11" s="64">
        <v>460000</v>
      </c>
      <c r="L11" s="79">
        <f>IFERROR(Table2[[#This Row],[Children (&lt;18 years)]]/SUM(Table2[[#This Row],[Children (&lt;18 years)]],Table2[[#This Row],[Adult (18-59 years)]],Table2[[#This Row],[Elderly (&gt;59 years)]]),"-")*100</f>
        <v>76.666666666666671</v>
      </c>
      <c r="M11" s="64">
        <v>50000</v>
      </c>
      <c r="N11" s="79">
        <f>IFERROR(Table2[[#This Row],[Adult (18-59 years)]]/SUM(Table2[[#This Row],[Children (&lt;18 years)]],Table2[[#This Row],[Adult (18-59 years)]],Table2[[#This Row],[Elderly (&gt;59 years)]]),"-")*100</f>
        <v>8.3333333333333321</v>
      </c>
      <c r="O11" s="65">
        <v>90000</v>
      </c>
      <c r="P11" s="79">
        <f>IFERROR(Table2[[#This Row],[Elderly (&gt;59 years)]]/SUM(Table2[[#This Row],[Children (&lt;18 years)]],Table2[[#This Row],[Adult (18-59 years)]],Table2[[#This Row],[Elderly (&gt;59 years)]]),"-")*100</f>
        <v>15</v>
      </c>
      <c r="Q11" s="68">
        <f>IF(OR(SUM(TblSector[#This Row])&lt;&gt;SUM(Table2[[#This Row],[Female]:[Male]]),SUM(TblSector[#This Row])&lt;&gt;SUM(Table2[[#This Row],[Children (&lt;18 years)]],Table2[[#This Row],[Adult (18-59 years)]],Table2[[#This Row],[Elderly (&gt;59 years)]])),"Error",SUM(TblSector[#This Row]))</f>
        <v>600000</v>
      </c>
      <c r="R11" s="122">
        <v>1290000</v>
      </c>
      <c r="S11" s="77">
        <f>Table2[[#This Row],[Female]]/SUM(Table2[[#This Row],[Female]:[Male]])</f>
        <v>0.56666666666666665</v>
      </c>
      <c r="T11" s="78">
        <f>Table2[[#This Row],[Male]]/SUM(Table2[[#This Row],[Female]:[Male]])</f>
        <v>0.43333333333333335</v>
      </c>
    </row>
    <row r="12" spans="1:83">
      <c r="A12" s="28" t="s">
        <v>77</v>
      </c>
      <c r="B12" s="80">
        <v>100000</v>
      </c>
      <c r="C12" s="80">
        <v>100000</v>
      </c>
      <c r="D12" s="80">
        <v>100000</v>
      </c>
      <c r="E12" s="137">
        <v>0</v>
      </c>
      <c r="F12" s="80">
        <v>0</v>
      </c>
      <c r="G12" s="80">
        <v>200000</v>
      </c>
      <c r="I12" s="64">
        <v>250000</v>
      </c>
      <c r="J12" s="65">
        <v>250000</v>
      </c>
      <c r="K12" s="64">
        <v>100000</v>
      </c>
      <c r="L12" s="79">
        <f>IFERROR(Table2[[#This Row],[Children (&lt;18 years)]]/SUM(Table2[[#This Row],[Children (&lt;18 years)]],Table2[[#This Row],[Adult (18-59 years)]],Table2[[#This Row],[Elderly (&gt;59 years)]]),"-")*100</f>
        <v>20</v>
      </c>
      <c r="M12" s="64">
        <v>350000</v>
      </c>
      <c r="N12" s="79">
        <f>IFERROR(Table2[[#This Row],[Adult (18-59 years)]]/SUM(Table2[[#This Row],[Children (&lt;18 years)]],Table2[[#This Row],[Adult (18-59 years)]],Table2[[#This Row],[Elderly (&gt;59 years)]]),"-")*100</f>
        <v>70</v>
      </c>
      <c r="O12" s="65">
        <v>50000</v>
      </c>
      <c r="P12" s="79">
        <f>IFERROR(Table2[[#This Row],[Elderly (&gt;59 years)]]/SUM(Table2[[#This Row],[Children (&lt;18 years)]],Table2[[#This Row],[Adult (18-59 years)]],Table2[[#This Row],[Elderly (&gt;59 years)]]),"-")*100</f>
        <v>10</v>
      </c>
      <c r="Q12" s="68">
        <f>IF(OR(SUM(TblSector[#This Row])&lt;&gt;SUM(Table2[[#This Row],[Female]:[Male]]),SUM(TblSector[#This Row])&lt;&gt;SUM(Table2[[#This Row],[Children (&lt;18 years)]],Table2[[#This Row],[Adult (18-59 years)]],Table2[[#This Row],[Elderly (&gt;59 years)]])),"Error",SUM(TblSector[#This Row]))</f>
        <v>500000</v>
      </c>
      <c r="R12" s="122">
        <v>1245000</v>
      </c>
      <c r="S12" s="77">
        <f>Table2[[#This Row],[Female]]/SUM(Table2[[#This Row],[Female]:[Male]])</f>
        <v>0.5</v>
      </c>
      <c r="T12" s="78">
        <f>Table2[[#This Row],[Male]]/SUM(Table2[[#This Row],[Female]:[Male]])</f>
        <v>0.5</v>
      </c>
    </row>
    <row r="13" spans="1:83">
      <c r="A13" s="28" t="s">
        <v>10</v>
      </c>
      <c r="B13" s="80">
        <v>100000</v>
      </c>
      <c r="C13" s="80">
        <v>100000</v>
      </c>
      <c r="D13" s="80">
        <v>0</v>
      </c>
      <c r="E13" s="80">
        <v>0</v>
      </c>
      <c r="F13" s="80">
        <v>0</v>
      </c>
      <c r="G13" s="80">
        <v>0</v>
      </c>
      <c r="I13" s="64">
        <v>90000</v>
      </c>
      <c r="J13" s="65">
        <v>110000</v>
      </c>
      <c r="K13" s="64">
        <v>50000</v>
      </c>
      <c r="L13" s="79">
        <f>IFERROR(Table2[[#This Row],[Children (&lt;18 years)]]/SUM(Table2[[#This Row],[Children (&lt;18 years)]],Table2[[#This Row],[Adult (18-59 years)]],Table2[[#This Row],[Elderly (&gt;59 years)]]),"-")*100</f>
        <v>25</v>
      </c>
      <c r="M13" s="64">
        <v>150000</v>
      </c>
      <c r="N13" s="79">
        <f>IFERROR(Table2[[#This Row],[Adult (18-59 years)]]/SUM(Table2[[#This Row],[Children (&lt;18 years)]],Table2[[#This Row],[Adult (18-59 years)]],Table2[[#This Row],[Elderly (&gt;59 years)]]),"-")*100</f>
        <v>75</v>
      </c>
      <c r="O13" s="65">
        <v>0</v>
      </c>
      <c r="P13" s="79">
        <f>IFERROR(Table2[[#This Row],[Elderly (&gt;59 years)]]/SUM(Table2[[#This Row],[Children (&lt;18 years)]],Table2[[#This Row],[Adult (18-59 years)]],Table2[[#This Row],[Elderly (&gt;59 years)]]),"-")*100</f>
        <v>0</v>
      </c>
      <c r="Q13" s="68">
        <f>IF(OR(SUM(TblSector[#This Row])&lt;&gt;SUM(Table2[[#This Row],[Female]:[Male]]),SUM(TblSector[#This Row])&lt;&gt;SUM(Table2[[#This Row],[Children (&lt;18 years)]],Table2[[#This Row],[Adult (18-59 years)]],Table2[[#This Row],[Elderly (&gt;59 years)]])),"Error",SUM(TblSector[#This Row]))</f>
        <v>200000</v>
      </c>
      <c r="R13" s="122">
        <v>470000</v>
      </c>
      <c r="S13" s="77">
        <f>Table2[[#This Row],[Female]]/SUM(Table2[[#This Row],[Female]:[Male]])</f>
        <v>0.45</v>
      </c>
      <c r="T13" s="78">
        <f>Table2[[#This Row],[Male]]/SUM(Table2[[#This Row],[Female]:[Male]])</f>
        <v>0.55000000000000004</v>
      </c>
    </row>
    <row r="14" spans="1:83">
      <c r="A14" s="28" t="s">
        <v>11</v>
      </c>
      <c r="B14" s="80">
        <v>100000</v>
      </c>
      <c r="C14" s="80">
        <v>200000</v>
      </c>
      <c r="D14" s="80">
        <v>0</v>
      </c>
      <c r="E14" s="80">
        <v>0</v>
      </c>
      <c r="F14" s="80">
        <v>0</v>
      </c>
      <c r="G14" s="80">
        <v>0</v>
      </c>
      <c r="I14" s="64">
        <v>160000</v>
      </c>
      <c r="J14" s="65">
        <v>140000</v>
      </c>
      <c r="K14" s="64">
        <v>70000</v>
      </c>
      <c r="L14" s="79">
        <f>IFERROR(Table2[[#This Row],[Children (&lt;18 years)]]/SUM(Table2[[#This Row],[Children (&lt;18 years)]],Table2[[#This Row],[Adult (18-59 years)]],Table2[[#This Row],[Elderly (&gt;59 years)]]),"-")*100</f>
        <v>23.333333333333332</v>
      </c>
      <c r="M14" s="64">
        <v>210000</v>
      </c>
      <c r="N14" s="79">
        <f>IFERROR(Table2[[#This Row],[Adult (18-59 years)]]/SUM(Table2[[#This Row],[Children (&lt;18 years)]],Table2[[#This Row],[Adult (18-59 years)]],Table2[[#This Row],[Elderly (&gt;59 years)]]),"-")*100</f>
        <v>70</v>
      </c>
      <c r="O14" s="65">
        <v>20000</v>
      </c>
      <c r="P14" s="79">
        <f>IFERROR(Table2[[#This Row],[Elderly (&gt;59 years)]]/SUM(Table2[[#This Row],[Children (&lt;18 years)]],Table2[[#This Row],[Adult (18-59 years)]],Table2[[#This Row],[Elderly (&gt;59 years)]]),"-")*100</f>
        <v>6.666666666666667</v>
      </c>
      <c r="Q14" s="68">
        <f>IF(OR(SUM(TblSector[#This Row])&lt;&gt;SUM(Table2[[#This Row],[Female]:[Male]]),SUM(TblSector[#This Row])&lt;&gt;SUM(Table2[[#This Row],[Children (&lt;18 years)]],Table2[[#This Row],[Adult (18-59 years)]],Table2[[#This Row],[Elderly (&gt;59 years)]])),"Error",SUM(TblSector[#This Row]))</f>
        <v>300000</v>
      </c>
      <c r="R14" s="122">
        <v>573000</v>
      </c>
      <c r="S14" s="77">
        <f>Table2[[#This Row],[Female]]/SUM(Table2[[#This Row],[Female]:[Male]])</f>
        <v>0.53333333333333333</v>
      </c>
      <c r="T14" s="78">
        <f>Table2[[#This Row],[Male]]/SUM(Table2[[#This Row],[Female]:[Male]])</f>
        <v>0.46666666666666667</v>
      </c>
    </row>
    <row r="15" spans="1:83">
      <c r="A15" s="28" t="s">
        <v>14</v>
      </c>
      <c r="B15" s="80">
        <v>100000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I15" s="64">
        <v>25000</v>
      </c>
      <c r="J15" s="65">
        <v>75000</v>
      </c>
      <c r="K15" s="64">
        <v>10000</v>
      </c>
      <c r="L15" s="79">
        <f>IFERROR(Table2[[#This Row],[Children (&lt;18 years)]]/SUM(Table2[[#This Row],[Children (&lt;18 years)]],Table2[[#This Row],[Adult (18-59 years)]],Table2[[#This Row],[Elderly (&gt;59 years)]]),"-")*100</f>
        <v>10</v>
      </c>
      <c r="M15" s="64">
        <v>80000</v>
      </c>
      <c r="N15" s="79">
        <f>IFERROR(Table2[[#This Row],[Adult (18-59 years)]]/SUM(Table2[[#This Row],[Children (&lt;18 years)]],Table2[[#This Row],[Adult (18-59 years)]],Table2[[#This Row],[Elderly (&gt;59 years)]]),"-")*100</f>
        <v>80</v>
      </c>
      <c r="O15" s="65">
        <v>10000</v>
      </c>
      <c r="P15" s="79">
        <f>IFERROR(Table2[[#This Row],[Elderly (&gt;59 years)]]/SUM(Table2[[#This Row],[Children (&lt;18 years)]],Table2[[#This Row],[Adult (18-59 years)]],Table2[[#This Row],[Elderly (&gt;59 years)]]),"-")*100</f>
        <v>10</v>
      </c>
      <c r="Q15" s="68">
        <f>IF(OR(SUM(TblSector[#This Row])&lt;&gt;SUM(Table2[[#This Row],[Female]:[Male]]),SUM(TblSector[#This Row])&lt;&gt;SUM(Table2[[#This Row],[Children (&lt;18 years)]],Table2[[#This Row],[Adult (18-59 years)]],Table2[[#This Row],[Elderly (&gt;59 years)]])),"Error",SUM(TblSector[#This Row]))</f>
        <v>100000</v>
      </c>
      <c r="R15" s="122">
        <v>162000</v>
      </c>
      <c r="S15" s="77">
        <f>Table2[[#This Row],[Female]]/SUM(Table2[[#This Row],[Female]:[Male]])</f>
        <v>0.25</v>
      </c>
      <c r="T15" s="78">
        <f>Table2[[#This Row],[Male]]/SUM(Table2[[#This Row],[Female]:[Male]])</f>
        <v>0.75</v>
      </c>
    </row>
    <row r="16" spans="1:83" ht="15" customHeight="1">
      <c r="A16" s="71" t="s">
        <v>13</v>
      </c>
      <c r="B16" s="80">
        <v>100000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I16" s="64">
        <v>55000</v>
      </c>
      <c r="J16" s="65">
        <v>45000</v>
      </c>
      <c r="K16" s="64">
        <v>80000</v>
      </c>
      <c r="L16" s="79">
        <f>IFERROR(Table2[[#This Row],[Children (&lt;18 years)]]/SUM(Table2[[#This Row],[Children (&lt;18 years)]],Table2[[#This Row],[Adult (18-59 years)]],Table2[[#This Row],[Elderly (&gt;59 years)]]),"-")*100</f>
        <v>80</v>
      </c>
      <c r="M16" s="64">
        <v>20000</v>
      </c>
      <c r="N16" s="79">
        <f>IFERROR(Table2[[#This Row],[Adult (18-59 years)]]/SUM(Table2[[#This Row],[Children (&lt;18 years)]],Table2[[#This Row],[Adult (18-59 years)]],Table2[[#This Row],[Elderly (&gt;59 years)]]),"-")*100</f>
        <v>20</v>
      </c>
      <c r="O16" s="65">
        <v>0</v>
      </c>
      <c r="P16" s="79">
        <f>IFERROR(Table2[[#This Row],[Elderly (&gt;59 years)]]/SUM(Table2[[#This Row],[Children (&lt;18 years)]],Table2[[#This Row],[Adult (18-59 years)]],Table2[[#This Row],[Elderly (&gt;59 years)]]),"-")*100</f>
        <v>0</v>
      </c>
      <c r="Q16" s="69">
        <f>IF(OR(SUM(TblSector[#This Row])&lt;&gt;SUM(Table2[[#This Row],[Female]:[Male]]),SUM(TblSector[#This Row])&lt;&gt;SUM(Table2[[#This Row],[Children (&lt;18 years)]],Table2[[#This Row],[Adult (18-59 years)]],Table2[[#This Row],[Elderly (&gt;59 years)]])),"Error",SUM(TblSector[#This Row]))</f>
        <v>100000</v>
      </c>
      <c r="R16" s="122">
        <v>184000</v>
      </c>
      <c r="S16" s="77">
        <f>Table2[[#This Row],[Female]]/SUM(Table2[[#This Row],[Female]:[Male]])</f>
        <v>0.55000000000000004</v>
      </c>
      <c r="T16" s="78">
        <f>Table2[[#This Row],[Male]]/SUM(Table2[[#This Row],[Female]:[Male]])</f>
        <v>0.45</v>
      </c>
    </row>
    <row r="19" spans="1:12" ht="14.25" customHeight="1"/>
    <row r="20" spans="1:12" ht="14.25" customHeight="1">
      <c r="A20" s="4" t="s">
        <v>15</v>
      </c>
    </row>
    <row r="21" spans="1:12">
      <c r="A21" s="5" t="s">
        <v>16</v>
      </c>
      <c r="B21" s="5"/>
      <c r="C21" s="5"/>
      <c r="D21" s="5"/>
      <c r="E21" s="5"/>
      <c r="F21" s="5"/>
      <c r="G21" s="5"/>
    </row>
    <row r="23" spans="1:12" ht="18.75">
      <c r="A23" s="157"/>
      <c r="B23" s="157"/>
      <c r="C23" s="157"/>
      <c r="D23" s="157"/>
    </row>
    <row r="25" spans="1:12">
      <c r="B25" s="96"/>
    </row>
    <row r="26" spans="1:12">
      <c r="B26" s="98"/>
      <c r="C26" s="102"/>
      <c r="D26" s="102"/>
      <c r="E26" s="102"/>
      <c r="F26" s="106"/>
    </row>
    <row r="27" spans="1:12">
      <c r="B27" s="98"/>
      <c r="C27" s="102"/>
      <c r="D27" s="102"/>
      <c r="E27" s="102"/>
      <c r="F27" s="106"/>
    </row>
    <row r="28" spans="1:12">
      <c r="B28" s="98"/>
      <c r="C28" s="102"/>
      <c r="D28" s="102"/>
      <c r="E28" s="102"/>
      <c r="F28" s="106"/>
    </row>
    <row r="29" spans="1:12">
      <c r="B29" s="98"/>
      <c r="C29" s="102"/>
      <c r="D29" s="102"/>
      <c r="E29" s="102"/>
      <c r="F29" s="106"/>
    </row>
    <row r="30" spans="1:12">
      <c r="B30" s="98"/>
      <c r="C30" s="102"/>
      <c r="D30" s="102"/>
      <c r="E30" s="102"/>
      <c r="F30" s="106"/>
    </row>
    <row r="31" spans="1:12" ht="20.45" customHeight="1">
      <c r="A31" s="97"/>
      <c r="B31" s="99"/>
      <c r="C31" s="103"/>
      <c r="D31" s="103"/>
      <c r="E31" s="103"/>
      <c r="F31" s="107"/>
      <c r="G31" s="97"/>
      <c r="H31" s="97"/>
      <c r="I31" s="97"/>
      <c r="J31" s="97"/>
      <c r="K31" s="97"/>
      <c r="L31" s="97"/>
    </row>
    <row r="32" spans="1:12">
      <c r="B32" s="100"/>
      <c r="C32" s="104"/>
      <c r="D32" s="104"/>
      <c r="E32" s="104"/>
      <c r="F32" s="108"/>
      <c r="G32" s="2"/>
    </row>
    <row r="33" spans="1:12">
      <c r="A33" s="2"/>
      <c r="B33" s="100"/>
      <c r="C33" s="104"/>
      <c r="D33" s="104"/>
      <c r="E33" s="104"/>
      <c r="F33" s="108"/>
      <c r="G33" s="2"/>
      <c r="H33" s="2"/>
    </row>
    <row r="34" spans="1:12">
      <c r="A34" s="110"/>
      <c r="B34" s="111"/>
      <c r="C34" s="112"/>
      <c r="D34" s="112"/>
      <c r="E34" s="112"/>
      <c r="F34" s="113"/>
      <c r="G34" s="110"/>
      <c r="H34" s="110"/>
      <c r="I34" s="114"/>
      <c r="J34" s="114"/>
      <c r="K34" s="114"/>
      <c r="L34" s="114"/>
    </row>
    <row r="35" spans="1:12">
      <c r="A35" s="2"/>
      <c r="B35" s="100"/>
      <c r="C35" s="104"/>
      <c r="D35" s="104"/>
      <c r="E35" s="104"/>
      <c r="F35" s="108"/>
      <c r="G35" s="2"/>
      <c r="H35" s="2"/>
    </row>
    <row r="36" spans="1:12">
      <c r="A36" s="2"/>
      <c r="B36" s="100"/>
      <c r="C36" s="104"/>
      <c r="D36" s="104"/>
      <c r="E36" s="104"/>
      <c r="F36" s="108"/>
      <c r="G36" s="2"/>
      <c r="H36" s="2"/>
    </row>
    <row r="37" spans="1:12">
      <c r="A37" s="115"/>
      <c r="B37" s="116"/>
      <c r="C37" s="117"/>
      <c r="D37" s="117"/>
      <c r="E37" s="117"/>
      <c r="F37" s="118"/>
      <c r="G37" s="115"/>
      <c r="H37" s="110"/>
      <c r="I37" s="114"/>
      <c r="J37" s="114"/>
      <c r="K37" s="114"/>
      <c r="L37" s="114"/>
    </row>
    <row r="38" spans="1:12">
      <c r="A38" s="1"/>
      <c r="B38" s="101"/>
      <c r="C38" s="105"/>
      <c r="D38" s="105"/>
      <c r="E38" s="105"/>
      <c r="F38" s="109"/>
      <c r="G38" s="3"/>
      <c r="H38" s="2"/>
    </row>
    <row r="39" spans="1:12">
      <c r="B39" s="98"/>
      <c r="C39" s="102"/>
      <c r="D39" s="102"/>
      <c r="E39" s="102"/>
      <c r="F39" s="106"/>
      <c r="H39" s="2"/>
    </row>
    <row r="40" spans="1:12">
      <c r="A40" s="114"/>
      <c r="B40" s="119"/>
      <c r="C40" s="120"/>
      <c r="D40" s="120"/>
      <c r="E40" s="120"/>
      <c r="F40" s="121"/>
      <c r="G40" s="114"/>
      <c r="H40" s="115"/>
      <c r="I40" s="114"/>
      <c r="J40" s="114"/>
      <c r="K40" s="114"/>
      <c r="L40" s="114"/>
    </row>
    <row r="41" spans="1:12">
      <c r="B41" s="98"/>
      <c r="C41" s="102"/>
      <c r="D41" s="102"/>
      <c r="E41" s="102"/>
      <c r="F41" s="106"/>
      <c r="H41" s="3"/>
    </row>
    <row r="42" spans="1:12">
      <c r="B42" s="98"/>
      <c r="C42" s="102"/>
      <c r="D42" s="102"/>
      <c r="E42" s="102"/>
      <c r="F42" s="106"/>
    </row>
    <row r="43" spans="1:12">
      <c r="A43" s="114"/>
      <c r="B43" s="119"/>
      <c r="C43" s="120"/>
      <c r="D43" s="120"/>
      <c r="E43" s="120"/>
      <c r="F43" s="121"/>
      <c r="G43" s="114"/>
      <c r="H43" s="114"/>
      <c r="I43" s="114"/>
      <c r="J43" s="114"/>
      <c r="K43" s="114"/>
      <c r="L43" s="114"/>
    </row>
    <row r="44" spans="1:12">
      <c r="B44" s="98"/>
      <c r="C44" s="102"/>
      <c r="D44" s="102"/>
      <c r="E44" s="102"/>
      <c r="F44" s="106"/>
    </row>
    <row r="45" spans="1:12">
      <c r="B45" s="98"/>
      <c r="C45" s="102"/>
      <c r="D45" s="102"/>
      <c r="E45" s="102"/>
      <c r="F45" s="106"/>
    </row>
    <row r="46" spans="1:12">
      <c r="A46" s="114"/>
      <c r="B46" s="119"/>
      <c r="C46" s="120"/>
      <c r="D46" s="120"/>
      <c r="E46" s="120"/>
      <c r="F46" s="121"/>
      <c r="G46" s="114"/>
      <c r="H46" s="114"/>
      <c r="I46" s="114"/>
      <c r="J46" s="114"/>
      <c r="K46" s="114"/>
      <c r="L46" s="114"/>
    </row>
    <row r="47" spans="1:12">
      <c r="B47" s="98"/>
      <c r="C47" s="102"/>
      <c r="D47" s="102"/>
      <c r="E47" s="102"/>
      <c r="F47" s="106"/>
    </row>
    <row r="48" spans="1:12">
      <c r="B48" s="98"/>
      <c r="C48" s="102"/>
      <c r="D48" s="102"/>
      <c r="E48" s="102"/>
      <c r="F48" s="106"/>
    </row>
    <row r="49" spans="1:12">
      <c r="A49" s="114"/>
      <c r="B49" s="119"/>
      <c r="C49" s="120"/>
      <c r="D49" s="120"/>
      <c r="E49" s="120"/>
      <c r="F49" s="121"/>
      <c r="G49" s="114"/>
      <c r="H49" s="114"/>
      <c r="I49" s="114"/>
      <c r="J49" s="114"/>
      <c r="K49" s="114"/>
      <c r="L49" s="114"/>
    </row>
    <row r="50" spans="1:12">
      <c r="B50" s="98"/>
      <c r="C50" s="102"/>
      <c r="D50" s="102"/>
      <c r="E50" s="102"/>
      <c r="F50" s="106"/>
    </row>
    <row r="51" spans="1:12">
      <c r="B51" s="98"/>
      <c r="C51" s="102"/>
      <c r="D51" s="102"/>
      <c r="E51" s="102"/>
      <c r="F51" s="106"/>
    </row>
    <row r="52" spans="1:12">
      <c r="A52" s="114"/>
      <c r="B52" s="119"/>
      <c r="C52" s="120"/>
      <c r="D52" s="120"/>
      <c r="E52" s="120"/>
      <c r="F52" s="121"/>
      <c r="G52" s="114"/>
      <c r="H52" s="114"/>
      <c r="I52" s="114"/>
      <c r="J52" s="114"/>
      <c r="K52" s="114"/>
      <c r="L52" s="114"/>
    </row>
    <row r="53" spans="1:12">
      <c r="B53" s="98"/>
      <c r="C53" s="102"/>
      <c r="D53" s="102"/>
      <c r="E53" s="102"/>
      <c r="F53" s="106"/>
    </row>
    <row r="54" spans="1:12">
      <c r="B54" s="98"/>
      <c r="C54" s="102"/>
      <c r="D54" s="102"/>
      <c r="E54" s="102"/>
      <c r="F54" s="106"/>
    </row>
    <row r="55" spans="1:12">
      <c r="B55" s="98"/>
      <c r="C55" s="102"/>
      <c r="D55" s="102"/>
      <c r="E55" s="102"/>
      <c r="F55" s="106"/>
    </row>
    <row r="56" spans="1:12">
      <c r="B56" s="98"/>
      <c r="C56" s="102"/>
      <c r="D56" s="102"/>
      <c r="E56" s="102"/>
      <c r="F56" s="106"/>
    </row>
  </sheetData>
  <mergeCells count="2">
    <mergeCell ref="A4:D4"/>
    <mergeCell ref="A23:D23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CE62"/>
  <sheetViews>
    <sheetView showGridLines="0" topLeftCell="A24" zoomScale="90" zoomScaleNormal="90" workbookViewId="0">
      <selection activeCell="M38" sqref="M38"/>
    </sheetView>
  </sheetViews>
  <sheetFormatPr defaultRowHeight="15"/>
  <cols>
    <col min="1" max="1" width="24.140625" customWidth="1"/>
    <col min="2" max="3" width="11.140625" customWidth="1"/>
    <col min="4" max="4" width="9.42578125" customWidth="1"/>
    <col min="5" max="5" width="9" customWidth="1"/>
    <col min="6" max="6" width="11" customWidth="1"/>
    <col min="7" max="7" width="11.28515625" customWidth="1"/>
    <col min="8" max="8" width="11.42578125" customWidth="1"/>
    <col min="9" max="11" width="10.85546875" customWidth="1"/>
    <col min="12" max="12" width="6.28515625" customWidth="1"/>
    <col min="13" max="13" width="10.85546875" customWidth="1"/>
    <col min="14" max="14" width="7" customWidth="1"/>
    <col min="15" max="18" width="10.85546875" customWidth="1"/>
    <col min="19" max="20" width="11.5703125" customWidth="1"/>
    <col min="27" max="27" width="13.42578125" customWidth="1"/>
    <col min="30" max="32" width="13.42578125" customWidth="1"/>
    <col min="33" max="33" width="10.28515625" bestFit="1" customWidth="1"/>
  </cols>
  <sheetData>
    <row r="1" spans="1:83" ht="28.5">
      <c r="A1" s="4" t="s">
        <v>15</v>
      </c>
      <c r="I1" s="4" t="s">
        <v>15</v>
      </c>
    </row>
    <row r="2" spans="1:83">
      <c r="A2" s="5" t="s">
        <v>16</v>
      </c>
      <c r="B2" s="5"/>
      <c r="C2" s="5"/>
      <c r="D2" s="5"/>
      <c r="E2" s="5"/>
      <c r="F2" s="5"/>
      <c r="G2" s="5"/>
      <c r="H2" s="5"/>
      <c r="I2" s="5" t="s">
        <v>16</v>
      </c>
      <c r="J2" s="5"/>
      <c r="K2" s="5"/>
      <c r="L2" s="5"/>
      <c r="M2" s="5"/>
      <c r="N2" s="5"/>
      <c r="O2" s="5"/>
      <c r="P2" s="5"/>
      <c r="Q2" s="5"/>
      <c r="R2" s="5"/>
      <c r="S2" s="5"/>
    </row>
    <row r="3" spans="1:83" ht="8.25" customHeight="1"/>
    <row r="4" spans="1:83" ht="23.25" customHeight="1">
      <c r="A4" s="157" t="s">
        <v>34</v>
      </c>
      <c r="B4" s="157"/>
      <c r="C4" s="157"/>
      <c r="D4" s="157"/>
      <c r="E4" s="8"/>
      <c r="F4" s="8"/>
      <c r="G4" s="8"/>
      <c r="H4" s="8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8"/>
    </row>
    <row r="6" spans="1:83">
      <c r="B6" t="s">
        <v>66</v>
      </c>
    </row>
    <row r="7" spans="1:83" ht="63" customHeight="1">
      <c r="A7" s="15" t="s">
        <v>101</v>
      </c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29" t="s">
        <v>8</v>
      </c>
      <c r="I7" s="66" t="s">
        <v>53</v>
      </c>
      <c r="J7" s="67" t="s">
        <v>52</v>
      </c>
      <c r="K7" s="66" t="s">
        <v>49</v>
      </c>
      <c r="L7" s="66" t="s">
        <v>79</v>
      </c>
      <c r="M7" s="66" t="s">
        <v>50</v>
      </c>
      <c r="N7" s="66" t="s">
        <v>80</v>
      </c>
      <c r="O7" s="67" t="s">
        <v>51</v>
      </c>
      <c r="P7" s="66" t="s">
        <v>81</v>
      </c>
      <c r="Q7" s="66" t="s">
        <v>65</v>
      </c>
      <c r="R7" s="66" t="s">
        <v>70</v>
      </c>
      <c r="S7" s="66" t="s">
        <v>78</v>
      </c>
      <c r="T7" s="66" t="s">
        <v>82</v>
      </c>
    </row>
    <row r="8" spans="1:83" ht="15" customHeight="1">
      <c r="A8" s="28" t="s">
        <v>102</v>
      </c>
      <c r="B8" s="80">
        <v>600000</v>
      </c>
      <c r="C8" s="80">
        <v>300000</v>
      </c>
      <c r="D8" s="80">
        <v>200000</v>
      </c>
      <c r="E8" s="80">
        <v>200000</v>
      </c>
      <c r="F8" s="80">
        <v>100000</v>
      </c>
      <c r="G8" s="80">
        <v>100000</v>
      </c>
      <c r="I8" s="64">
        <v>950000</v>
      </c>
      <c r="J8" s="65">
        <v>550000</v>
      </c>
      <c r="K8" s="64">
        <v>550000</v>
      </c>
      <c r="L8" s="79">
        <f>IFERROR(Table28[[#This Row],[Children (&lt;18 years)]]/SUM(Table28[[#This Row],[Children (&lt;18 years)]],Table28[[#This Row],[Adult (18-59 years)]],Table28[[#This Row],[Elderly (&gt;59 years)]]),"-")*100</f>
        <v>36.666666666666664</v>
      </c>
      <c r="M8" s="64">
        <v>750000</v>
      </c>
      <c r="N8" s="79">
        <f>IFERROR(Table28[[#This Row],[Adult (18-59 years)]]/SUM(Table28[[#This Row],[Children (&lt;18 years)]],Table28[[#This Row],[Adult (18-59 years)]],Table28[[#This Row],[Elderly (&gt;59 years)]]),"-")*100</f>
        <v>50</v>
      </c>
      <c r="O8" s="65">
        <v>200000</v>
      </c>
      <c r="P8" s="79">
        <f>IFERROR(Table28[[#This Row],[Elderly (&gt;59 years)]]/SUM(Table28[[#This Row],[Children (&lt;18 years)]],Table28[[#This Row],[Adult (18-59 years)]],Table28[[#This Row],[Elderly (&gt;59 years)]]),"-")*100</f>
        <v>13.333333333333334</v>
      </c>
      <c r="Q8" s="70">
        <f>IF(OR(SUM(TblLoc[#This Row])&lt;&gt;SUM(Table28[[#This Row],[Female]:[Male]]),SUM(TblLoc[#This Row])&lt;&gt;SUM(Table28[[#This Row],[Children (&lt;18 years)]],Table28[[#This Row],[Adult (18-59 years)]],Table28[[#This Row],[Elderly (&gt;59 years)]])),"Error",SUM(TblLoc[#This Row]))</f>
        <v>1500000</v>
      </c>
      <c r="R8" s="122">
        <v>3555000</v>
      </c>
      <c r="S8" s="77">
        <f>Table28[[#This Row],[Female]]/SUM(Table28[[#This Row],[Female]:[Male]])</f>
        <v>0.6333333333333333</v>
      </c>
      <c r="T8" s="78">
        <f>Table28[[#This Row],[Male]]/SUM(Table28[[#This Row],[Female]:[Male]])</f>
        <v>0.36666666666666664</v>
      </c>
    </row>
    <row r="9" spans="1:83" ht="14.25" customHeight="1">
      <c r="A9" s="76" t="s">
        <v>103</v>
      </c>
      <c r="B9" s="80">
        <v>500000</v>
      </c>
      <c r="C9" s="80">
        <v>300000</v>
      </c>
      <c r="D9" s="80">
        <v>200000</v>
      </c>
      <c r="E9" s="80">
        <v>0</v>
      </c>
      <c r="F9" s="80">
        <v>200000</v>
      </c>
      <c r="G9" s="80">
        <v>0</v>
      </c>
      <c r="I9" s="64">
        <v>800000</v>
      </c>
      <c r="J9" s="65">
        <v>400000</v>
      </c>
      <c r="K9" s="64">
        <v>300000</v>
      </c>
      <c r="L9" s="79">
        <f>IFERROR(Table28[[#This Row],[Children (&lt;18 years)]]/SUM(Table28[[#This Row],[Children (&lt;18 years)]],Table28[[#This Row],[Adult (18-59 years)]],Table28[[#This Row],[Elderly (&gt;59 years)]]),"-")*100</f>
        <v>25</v>
      </c>
      <c r="M9" s="64">
        <v>800000</v>
      </c>
      <c r="N9" s="79">
        <f>IFERROR(Table28[[#This Row],[Adult (18-59 years)]]/SUM(Table28[[#This Row],[Children (&lt;18 years)]],Table28[[#This Row],[Adult (18-59 years)]],Table28[[#This Row],[Elderly (&gt;59 years)]]),"-")*100</f>
        <v>66.666666666666657</v>
      </c>
      <c r="O9" s="65">
        <v>100000</v>
      </c>
      <c r="P9" s="79">
        <f>IFERROR(Table28[[#This Row],[Elderly (&gt;59 years)]]/SUM(Table28[[#This Row],[Children (&lt;18 years)]],Table28[[#This Row],[Adult (18-59 years)]],Table28[[#This Row],[Elderly (&gt;59 years)]]),"-")*100</f>
        <v>8.3333333333333321</v>
      </c>
      <c r="Q9" s="68">
        <f>IF(OR(SUM(TblLoc[#This Row])&lt;&gt;SUM(Table28[[#This Row],[Female]:[Male]]),SUM(TblLoc[#This Row])&lt;&gt;SUM(Table28[[#This Row],[Children (&lt;18 years)]],Table28[[#This Row],[Adult (18-59 years)]],Table28[[#This Row],[Elderly (&gt;59 years)]])),"Error",SUM(TblLoc[#This Row]))</f>
        <v>1200000</v>
      </c>
      <c r="R9" s="122">
        <v>1536000</v>
      </c>
      <c r="S9" s="77">
        <f>Table28[[#This Row],[Female]]/SUM(Table28[[#This Row],[Female]:[Male]])</f>
        <v>0.66666666666666663</v>
      </c>
      <c r="T9" s="78">
        <f>Table28[[#This Row],[Male]]/SUM(Table28[[#This Row],[Female]:[Male]])</f>
        <v>0.33333333333333331</v>
      </c>
    </row>
    <row r="10" spans="1:83">
      <c r="A10" s="28" t="s">
        <v>104</v>
      </c>
      <c r="B10" s="80">
        <v>400000</v>
      </c>
      <c r="C10" s="80">
        <v>200000</v>
      </c>
      <c r="D10" s="80">
        <v>100000</v>
      </c>
      <c r="E10" s="80">
        <v>400000</v>
      </c>
      <c r="F10" s="80">
        <v>100000</v>
      </c>
      <c r="G10" s="80">
        <v>0</v>
      </c>
      <c r="I10" s="64">
        <v>750000</v>
      </c>
      <c r="J10" s="65">
        <v>450000</v>
      </c>
      <c r="K10" s="64">
        <v>350000</v>
      </c>
      <c r="L10" s="79">
        <f>IFERROR(Table28[[#This Row],[Children (&lt;18 years)]]/SUM(Table28[[#This Row],[Children (&lt;18 years)]],Table28[[#This Row],[Adult (18-59 years)]],Table28[[#This Row],[Elderly (&gt;59 years)]]),"-")*100</f>
        <v>29.166666666666668</v>
      </c>
      <c r="M10" s="64">
        <v>750000</v>
      </c>
      <c r="N10" s="79">
        <f>IFERROR(Table28[[#This Row],[Adult (18-59 years)]]/SUM(Table28[[#This Row],[Children (&lt;18 years)]],Table28[[#This Row],[Adult (18-59 years)]],Table28[[#This Row],[Elderly (&gt;59 years)]]),"-")*100</f>
        <v>62.5</v>
      </c>
      <c r="O10" s="65">
        <v>100000</v>
      </c>
      <c r="P10" s="79">
        <f>IFERROR(Table28[[#This Row],[Elderly (&gt;59 years)]]/SUM(Table28[[#This Row],[Children (&lt;18 years)]],Table28[[#This Row],[Adult (18-59 years)]],Table28[[#This Row],[Elderly (&gt;59 years)]]),"-")*100</f>
        <v>8.3333333333333321</v>
      </c>
      <c r="Q10" s="68">
        <f>IF(OR(SUM(TblLoc[#This Row])&lt;&gt;SUM(Table28[[#This Row],[Female]:[Male]]),SUM(TblLoc[#This Row])&lt;&gt;SUM(Table28[[#This Row],[Children (&lt;18 years)]],Table28[[#This Row],[Adult (18-59 years)]],Table28[[#This Row],[Elderly (&gt;59 years)]])),"Error",SUM(TblLoc[#This Row]))</f>
        <v>1200000</v>
      </c>
      <c r="R10" s="122">
        <v>2220000</v>
      </c>
      <c r="S10" s="77">
        <f>Table28[[#This Row],[Female]]/SUM(Table28[[#This Row],[Female]:[Male]])</f>
        <v>0.625</v>
      </c>
      <c r="T10" s="78">
        <f>Table28[[#This Row],[Male]]/SUM(Table28[[#This Row],[Female]:[Male]])</f>
        <v>0.375</v>
      </c>
    </row>
    <row r="11" spans="1:83">
      <c r="A11" s="28" t="s">
        <v>105</v>
      </c>
      <c r="B11" s="80">
        <v>200000</v>
      </c>
      <c r="C11" s="80">
        <v>100000</v>
      </c>
      <c r="D11" s="80">
        <v>0</v>
      </c>
      <c r="E11" s="80">
        <v>100000</v>
      </c>
      <c r="F11" s="80">
        <v>200000</v>
      </c>
      <c r="G11" s="80">
        <v>0</v>
      </c>
      <c r="I11" s="64">
        <v>340000</v>
      </c>
      <c r="J11" s="65">
        <v>260000</v>
      </c>
      <c r="K11" s="64">
        <v>460000</v>
      </c>
      <c r="L11" s="79">
        <f>IFERROR(Table28[[#This Row],[Children (&lt;18 years)]]/SUM(Table28[[#This Row],[Children (&lt;18 years)]],Table28[[#This Row],[Adult (18-59 years)]],Table28[[#This Row],[Elderly (&gt;59 years)]]),"-")*100</f>
        <v>76.666666666666671</v>
      </c>
      <c r="M11" s="64">
        <v>50000</v>
      </c>
      <c r="N11" s="79">
        <f>IFERROR(Table28[[#This Row],[Adult (18-59 years)]]/SUM(Table28[[#This Row],[Children (&lt;18 years)]],Table28[[#This Row],[Adult (18-59 years)]],Table28[[#This Row],[Elderly (&gt;59 years)]]),"-")*100</f>
        <v>8.3333333333333321</v>
      </c>
      <c r="O11" s="65">
        <v>90000</v>
      </c>
      <c r="P11" s="79">
        <f>IFERROR(Table28[[#This Row],[Elderly (&gt;59 years)]]/SUM(Table28[[#This Row],[Children (&lt;18 years)]],Table28[[#This Row],[Adult (18-59 years)]],Table28[[#This Row],[Elderly (&gt;59 years)]]),"-")*100</f>
        <v>15</v>
      </c>
      <c r="Q11" s="68">
        <f>IF(OR(SUM(TblLoc[#This Row])&lt;&gt;SUM(Table28[[#This Row],[Female]:[Male]]),SUM(TblLoc[#This Row])&lt;&gt;SUM(Table28[[#This Row],[Children (&lt;18 years)]],Table28[[#This Row],[Adult (18-59 years)]],Table28[[#This Row],[Elderly (&gt;59 years)]])),"Error",SUM(TblLoc[#This Row]))</f>
        <v>600000</v>
      </c>
      <c r="R11" s="122">
        <v>1290000</v>
      </c>
      <c r="S11" s="77">
        <f>Table28[[#This Row],[Female]]/SUM(Table28[[#This Row],[Female]:[Male]])</f>
        <v>0.56666666666666665</v>
      </c>
      <c r="T11" s="78">
        <f>Table28[[#This Row],[Male]]/SUM(Table28[[#This Row],[Female]:[Male]])</f>
        <v>0.43333333333333335</v>
      </c>
    </row>
    <row r="12" spans="1:83">
      <c r="A12" s="28" t="s">
        <v>106</v>
      </c>
      <c r="B12" s="80">
        <v>100000</v>
      </c>
      <c r="C12" s="80">
        <v>100000</v>
      </c>
      <c r="D12" s="80">
        <v>100000</v>
      </c>
      <c r="E12" s="80">
        <v>0</v>
      </c>
      <c r="F12" s="80">
        <v>0</v>
      </c>
      <c r="G12" s="80">
        <v>200000</v>
      </c>
      <c r="I12" s="64">
        <v>250000</v>
      </c>
      <c r="J12" s="65">
        <v>250000</v>
      </c>
      <c r="K12" s="64">
        <v>100000</v>
      </c>
      <c r="L12" s="79">
        <f>IFERROR(Table28[[#This Row],[Children (&lt;18 years)]]/SUM(Table28[[#This Row],[Children (&lt;18 years)]],Table28[[#This Row],[Adult (18-59 years)]],Table28[[#This Row],[Elderly (&gt;59 years)]]),"-")*100</f>
        <v>20</v>
      </c>
      <c r="M12" s="64">
        <v>350000</v>
      </c>
      <c r="N12" s="79">
        <f>IFERROR(Table28[[#This Row],[Adult (18-59 years)]]/SUM(Table28[[#This Row],[Children (&lt;18 years)]],Table28[[#This Row],[Adult (18-59 years)]],Table28[[#This Row],[Elderly (&gt;59 years)]]),"-")*100</f>
        <v>70</v>
      </c>
      <c r="O12" s="65">
        <v>50000</v>
      </c>
      <c r="P12" s="79">
        <f>IFERROR(Table28[[#This Row],[Elderly (&gt;59 years)]]/SUM(Table28[[#This Row],[Children (&lt;18 years)]],Table28[[#This Row],[Adult (18-59 years)]],Table28[[#This Row],[Elderly (&gt;59 years)]]),"-")*100</f>
        <v>10</v>
      </c>
      <c r="Q12" s="68">
        <f>IF(OR(SUM(TblLoc[#This Row])&lt;&gt;SUM(Table28[[#This Row],[Female]:[Male]]),SUM(TblLoc[#This Row])&lt;&gt;SUM(Table28[[#This Row],[Children (&lt;18 years)]],Table28[[#This Row],[Adult (18-59 years)]],Table28[[#This Row],[Elderly (&gt;59 years)]])),"Error",SUM(TblLoc[#This Row]))</f>
        <v>500000</v>
      </c>
      <c r="R12" s="122">
        <v>1245000</v>
      </c>
      <c r="S12" s="77">
        <f>Table28[[#This Row],[Female]]/SUM(Table28[[#This Row],[Female]:[Male]])</f>
        <v>0.5</v>
      </c>
      <c r="T12" s="78">
        <f>Table28[[#This Row],[Male]]/SUM(Table28[[#This Row],[Female]:[Male]])</f>
        <v>0.5</v>
      </c>
    </row>
    <row r="13" spans="1:83">
      <c r="A13" s="28" t="s">
        <v>107</v>
      </c>
      <c r="B13" s="80">
        <v>100000</v>
      </c>
      <c r="C13" s="80">
        <v>100000</v>
      </c>
      <c r="D13" s="80">
        <v>0</v>
      </c>
      <c r="E13" s="80">
        <v>0</v>
      </c>
      <c r="F13" s="80">
        <v>0</v>
      </c>
      <c r="G13" s="80">
        <v>0</v>
      </c>
      <c r="I13" s="64">
        <v>90000</v>
      </c>
      <c r="J13" s="65">
        <v>110000</v>
      </c>
      <c r="K13" s="64">
        <v>50000</v>
      </c>
      <c r="L13" s="79">
        <f>IFERROR(Table28[[#This Row],[Children (&lt;18 years)]]/SUM(Table28[[#This Row],[Children (&lt;18 years)]],Table28[[#This Row],[Adult (18-59 years)]],Table28[[#This Row],[Elderly (&gt;59 years)]]),"-")*100</f>
        <v>25</v>
      </c>
      <c r="M13" s="64">
        <v>150000</v>
      </c>
      <c r="N13" s="79">
        <f>IFERROR(Table28[[#This Row],[Adult (18-59 years)]]/SUM(Table28[[#This Row],[Children (&lt;18 years)]],Table28[[#This Row],[Adult (18-59 years)]],Table28[[#This Row],[Elderly (&gt;59 years)]]),"-")*100</f>
        <v>75</v>
      </c>
      <c r="O13" s="65">
        <v>0</v>
      </c>
      <c r="P13" s="79">
        <f>IFERROR(Table28[[#This Row],[Elderly (&gt;59 years)]]/SUM(Table28[[#This Row],[Children (&lt;18 years)]],Table28[[#This Row],[Adult (18-59 years)]],Table28[[#This Row],[Elderly (&gt;59 years)]]),"-")*100</f>
        <v>0</v>
      </c>
      <c r="Q13" s="68">
        <f>IF(OR(SUM(TblLoc[#This Row])&lt;&gt;SUM(Table28[[#This Row],[Female]:[Male]]),SUM(TblLoc[#This Row])&lt;&gt;SUM(Table28[[#This Row],[Children (&lt;18 years)]],Table28[[#This Row],[Adult (18-59 years)]],Table28[[#This Row],[Elderly (&gt;59 years)]])),"Error",SUM(TblLoc[#This Row]))</f>
        <v>200000</v>
      </c>
      <c r="R13" s="122">
        <v>470000</v>
      </c>
      <c r="S13" s="77">
        <f>Table28[[#This Row],[Female]]/SUM(Table28[[#This Row],[Female]:[Male]])</f>
        <v>0.45</v>
      </c>
      <c r="T13" s="78">
        <f>Table28[[#This Row],[Male]]/SUM(Table28[[#This Row],[Female]:[Male]])</f>
        <v>0.55000000000000004</v>
      </c>
    </row>
    <row r="14" spans="1:83">
      <c r="A14" s="28" t="s">
        <v>108</v>
      </c>
      <c r="B14" s="80">
        <v>100000</v>
      </c>
      <c r="C14" s="80">
        <v>200000</v>
      </c>
      <c r="D14" s="80">
        <v>0</v>
      </c>
      <c r="E14" s="80">
        <v>0</v>
      </c>
      <c r="F14" s="80">
        <v>0</v>
      </c>
      <c r="G14" s="80">
        <v>0</v>
      </c>
      <c r="I14" s="64">
        <v>160000</v>
      </c>
      <c r="J14" s="65">
        <v>140000</v>
      </c>
      <c r="K14" s="64">
        <v>70000</v>
      </c>
      <c r="L14" s="79">
        <f>IFERROR(Table28[[#This Row],[Children (&lt;18 years)]]/SUM(Table28[[#This Row],[Children (&lt;18 years)]],Table28[[#This Row],[Adult (18-59 years)]],Table28[[#This Row],[Elderly (&gt;59 years)]]),"-")*100</f>
        <v>23.333333333333332</v>
      </c>
      <c r="M14" s="64">
        <v>210000</v>
      </c>
      <c r="N14" s="79">
        <f>IFERROR(Table28[[#This Row],[Adult (18-59 years)]]/SUM(Table28[[#This Row],[Children (&lt;18 years)]],Table28[[#This Row],[Adult (18-59 years)]],Table28[[#This Row],[Elderly (&gt;59 years)]]),"-")*100</f>
        <v>70</v>
      </c>
      <c r="O14" s="65">
        <v>20000</v>
      </c>
      <c r="P14" s="79">
        <f>IFERROR(Table28[[#This Row],[Elderly (&gt;59 years)]]/SUM(Table28[[#This Row],[Children (&lt;18 years)]],Table28[[#This Row],[Adult (18-59 years)]],Table28[[#This Row],[Elderly (&gt;59 years)]]),"-")*100</f>
        <v>6.666666666666667</v>
      </c>
      <c r="Q14" s="68">
        <f>IF(OR(SUM(TblLoc[#This Row])&lt;&gt;SUM(Table28[[#This Row],[Female]:[Male]]),SUM(TblLoc[#This Row])&lt;&gt;SUM(Table28[[#This Row],[Children (&lt;18 years)]],Table28[[#This Row],[Adult (18-59 years)]],Table28[[#This Row],[Elderly (&gt;59 years)]])),"Error",SUM(TblLoc[#This Row]))</f>
        <v>300000</v>
      </c>
      <c r="R14" s="122">
        <v>573000</v>
      </c>
      <c r="S14" s="77">
        <f>Table28[[#This Row],[Female]]/SUM(Table28[[#This Row],[Female]:[Male]])</f>
        <v>0.53333333333333333</v>
      </c>
      <c r="T14" s="78">
        <f>Table28[[#This Row],[Male]]/SUM(Table28[[#This Row],[Female]:[Male]])</f>
        <v>0.46666666666666667</v>
      </c>
    </row>
    <row r="15" spans="1:83">
      <c r="A15" s="28" t="s">
        <v>109</v>
      </c>
      <c r="B15" s="80">
        <v>100000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I15" s="64">
        <v>25000</v>
      </c>
      <c r="J15" s="65">
        <v>75000</v>
      </c>
      <c r="K15" s="64">
        <v>10000</v>
      </c>
      <c r="L15" s="79">
        <f>IFERROR(Table28[[#This Row],[Children (&lt;18 years)]]/SUM(Table28[[#This Row],[Children (&lt;18 years)]],Table28[[#This Row],[Adult (18-59 years)]],Table28[[#This Row],[Elderly (&gt;59 years)]]),"-")*100</f>
        <v>10</v>
      </c>
      <c r="M15" s="64">
        <v>80000</v>
      </c>
      <c r="N15" s="79">
        <f>IFERROR(Table28[[#This Row],[Adult (18-59 years)]]/SUM(Table28[[#This Row],[Children (&lt;18 years)]],Table28[[#This Row],[Adult (18-59 years)]],Table28[[#This Row],[Elderly (&gt;59 years)]]),"-")*100</f>
        <v>80</v>
      </c>
      <c r="O15" s="65">
        <v>10000</v>
      </c>
      <c r="P15" s="79">
        <f>IFERROR(Table28[[#This Row],[Elderly (&gt;59 years)]]/SUM(Table28[[#This Row],[Children (&lt;18 years)]],Table28[[#This Row],[Adult (18-59 years)]],Table28[[#This Row],[Elderly (&gt;59 years)]]),"-")*100</f>
        <v>10</v>
      </c>
      <c r="Q15" s="68">
        <f>IF(OR(SUM(TblLoc[#This Row])&lt;&gt;SUM(Table28[[#This Row],[Female]:[Male]]),SUM(TblLoc[#This Row])&lt;&gt;SUM(Table28[[#This Row],[Children (&lt;18 years)]],Table28[[#This Row],[Adult (18-59 years)]],Table28[[#This Row],[Elderly (&gt;59 years)]])),"Error",SUM(TblLoc[#This Row]))</f>
        <v>100000</v>
      </c>
      <c r="R15" s="122">
        <v>162000</v>
      </c>
      <c r="S15" s="77">
        <f>Table28[[#This Row],[Female]]/SUM(Table28[[#This Row],[Female]:[Male]])</f>
        <v>0.25</v>
      </c>
      <c r="T15" s="78">
        <f>Table28[[#This Row],[Male]]/SUM(Table28[[#This Row],[Female]:[Male]])</f>
        <v>0.75</v>
      </c>
    </row>
    <row r="16" spans="1:83" ht="15" customHeight="1">
      <c r="A16" s="71" t="s">
        <v>110</v>
      </c>
      <c r="B16" s="80">
        <v>100000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I16" s="64">
        <v>55000</v>
      </c>
      <c r="J16" s="65">
        <v>45000</v>
      </c>
      <c r="K16" s="64">
        <v>80000</v>
      </c>
      <c r="L16" s="79">
        <f>IFERROR(Table28[[#This Row],[Children (&lt;18 years)]]/SUM(Table28[[#This Row],[Children (&lt;18 years)]],Table28[[#This Row],[Adult (18-59 years)]],Table28[[#This Row],[Elderly (&gt;59 years)]]),"-")*100</f>
        <v>80</v>
      </c>
      <c r="M16" s="64">
        <v>20000</v>
      </c>
      <c r="N16" s="79">
        <f>IFERROR(Table28[[#This Row],[Adult (18-59 years)]]/SUM(Table28[[#This Row],[Children (&lt;18 years)]],Table28[[#This Row],[Adult (18-59 years)]],Table28[[#This Row],[Elderly (&gt;59 years)]]),"-")*100</f>
        <v>20</v>
      </c>
      <c r="O16" s="65">
        <v>0</v>
      </c>
      <c r="P16" s="79">
        <f>IFERROR(Table28[[#This Row],[Elderly (&gt;59 years)]]/SUM(Table28[[#This Row],[Children (&lt;18 years)]],Table28[[#This Row],[Adult (18-59 years)]],Table28[[#This Row],[Elderly (&gt;59 years)]]),"-")*100</f>
        <v>0</v>
      </c>
      <c r="Q16" s="69">
        <f>IF(OR(SUM(TblLoc[#This Row])&lt;&gt;SUM(Table28[[#This Row],[Female]:[Male]]),SUM(TblLoc[#This Row])&lt;&gt;SUM(Table28[[#This Row],[Children (&lt;18 years)]],Table28[[#This Row],[Adult (18-59 years)]],Table28[[#This Row],[Elderly (&gt;59 years)]])),"Error",SUM(TblLoc[#This Row]))</f>
        <v>100000</v>
      </c>
      <c r="R16" s="122">
        <v>184000</v>
      </c>
      <c r="S16" s="77">
        <f>Table28[[#This Row],[Female]]/SUM(Table28[[#This Row],[Female]:[Male]])</f>
        <v>0.55000000000000004</v>
      </c>
      <c r="T16" s="78">
        <f>Table28[[#This Row],[Male]]/SUM(Table28[[#This Row],[Female]:[Male]])</f>
        <v>0.45</v>
      </c>
    </row>
    <row r="19" spans="1:12" ht="14.25" customHeight="1"/>
    <row r="20" spans="1:12" ht="19.899999999999999" customHeight="1">
      <c r="A20" s="4" t="s">
        <v>15</v>
      </c>
    </row>
    <row r="21" spans="1:12">
      <c r="A21" s="5" t="s">
        <v>100</v>
      </c>
      <c r="B21" s="5"/>
      <c r="C21" s="5"/>
      <c r="D21" s="5"/>
      <c r="E21" s="5"/>
      <c r="F21" s="5"/>
      <c r="G21" s="5"/>
    </row>
    <row r="22" spans="1:12" s="149" customFormat="1"/>
    <row r="23" spans="1:12" s="149" customFormat="1" ht="18.75">
      <c r="A23" s="158"/>
      <c r="B23" s="158"/>
      <c r="C23" s="158"/>
      <c r="D23" s="158"/>
    </row>
    <row r="24" spans="1:12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</row>
    <row r="25" spans="1:12" ht="15.75">
      <c r="A25" s="150" t="s">
        <v>15</v>
      </c>
      <c r="B25" s="124"/>
      <c r="C25" s="123"/>
      <c r="D25" s="123"/>
      <c r="E25" s="123"/>
      <c r="F25" s="123"/>
      <c r="G25" s="123"/>
      <c r="H25" s="123"/>
      <c r="I25" s="123"/>
      <c r="J25" s="123"/>
      <c r="K25" s="123"/>
      <c r="L25" s="123"/>
    </row>
    <row r="26" spans="1:12">
      <c r="A26" s="142" t="s">
        <v>112</v>
      </c>
      <c r="B26" s="134"/>
      <c r="C26" s="125"/>
      <c r="D26" s="125"/>
      <c r="E26" s="125"/>
      <c r="F26" s="126"/>
      <c r="G26" s="123"/>
      <c r="H26" s="123"/>
      <c r="I26" s="123"/>
      <c r="J26" s="123"/>
      <c r="K26" s="123"/>
      <c r="L26" s="123"/>
    </row>
    <row r="27" spans="1:12">
      <c r="A27" s="123"/>
      <c r="B27" s="134"/>
      <c r="C27" s="125"/>
      <c r="D27" s="125"/>
      <c r="E27" s="125"/>
      <c r="F27" s="126"/>
      <c r="G27" s="123"/>
      <c r="H27" s="123"/>
      <c r="I27" s="123"/>
      <c r="J27" s="123"/>
      <c r="K27" s="123"/>
      <c r="L27" s="123"/>
    </row>
    <row r="28" spans="1:12">
      <c r="A28" s="123"/>
      <c r="B28" s="134"/>
      <c r="C28" s="125"/>
      <c r="D28" s="125"/>
      <c r="E28" s="125"/>
      <c r="F28" s="126"/>
      <c r="G28" s="123"/>
      <c r="H28" s="123"/>
      <c r="I28" s="123"/>
      <c r="J28" s="123"/>
      <c r="K28" s="123"/>
      <c r="L28" s="123"/>
    </row>
    <row r="29" spans="1:12">
      <c r="A29" s="123"/>
      <c r="B29" s="134"/>
      <c r="C29" s="125"/>
      <c r="D29" s="125"/>
      <c r="E29" s="125"/>
      <c r="F29" s="126"/>
      <c r="G29" s="123"/>
      <c r="H29" s="123"/>
      <c r="I29" s="123"/>
      <c r="J29" s="123"/>
      <c r="K29" s="123"/>
      <c r="L29" s="123"/>
    </row>
    <row r="30" spans="1:12">
      <c r="A30" s="123"/>
      <c r="B30" s="134"/>
      <c r="C30" s="125"/>
      <c r="D30" s="125"/>
      <c r="E30" s="125"/>
      <c r="F30" s="126"/>
      <c r="G30" s="123"/>
      <c r="H30" s="123"/>
      <c r="I30" s="123"/>
      <c r="J30" s="123"/>
      <c r="K30" s="123"/>
      <c r="L30" s="123"/>
    </row>
    <row r="31" spans="1:12" ht="20.45" customHeight="1">
      <c r="A31" s="123"/>
      <c r="B31" s="134"/>
      <c r="C31" s="125"/>
      <c r="D31" s="125"/>
      <c r="E31" s="125"/>
      <c r="F31" s="126"/>
      <c r="G31" s="123"/>
      <c r="H31" s="123"/>
      <c r="I31" s="123"/>
      <c r="J31" s="123"/>
      <c r="K31" s="123"/>
      <c r="L31" s="123"/>
    </row>
    <row r="32" spans="1:12">
      <c r="A32" s="123"/>
      <c r="B32" s="135"/>
      <c r="C32" s="127"/>
      <c r="D32" s="127"/>
      <c r="E32" s="127"/>
      <c r="F32" s="128"/>
      <c r="G32" s="129"/>
      <c r="H32" s="123"/>
      <c r="I32" s="123"/>
      <c r="J32" s="123"/>
      <c r="K32" s="123"/>
      <c r="L32" s="123"/>
    </row>
    <row r="33" spans="1:12">
      <c r="A33" s="129"/>
      <c r="B33" s="135"/>
      <c r="C33" s="127"/>
      <c r="D33" s="127"/>
      <c r="E33" s="127"/>
      <c r="F33" s="128"/>
      <c r="G33" s="129"/>
      <c r="H33" s="129"/>
      <c r="I33" s="123"/>
      <c r="J33" s="123"/>
      <c r="K33" s="123"/>
      <c r="L33" s="123"/>
    </row>
    <row r="34" spans="1:12">
      <c r="A34" s="129"/>
      <c r="B34" s="135"/>
      <c r="C34" s="127"/>
      <c r="D34" s="127"/>
      <c r="E34" s="127"/>
      <c r="F34" s="128"/>
      <c r="G34" s="129"/>
      <c r="H34" s="129"/>
      <c r="I34" s="123"/>
      <c r="J34" s="123"/>
      <c r="K34" s="123"/>
      <c r="L34" s="123"/>
    </row>
    <row r="35" spans="1:12">
      <c r="A35" s="129"/>
      <c r="B35" s="135"/>
      <c r="C35" s="127"/>
      <c r="D35" s="127"/>
      <c r="E35" s="127"/>
      <c r="F35" s="128"/>
      <c r="G35" s="129"/>
      <c r="H35" s="129"/>
      <c r="I35" s="123"/>
      <c r="J35" s="123"/>
      <c r="K35" s="123"/>
      <c r="L35" s="123"/>
    </row>
    <row r="36" spans="1:12">
      <c r="A36" s="129"/>
      <c r="B36" s="135"/>
      <c r="C36" s="127"/>
      <c r="D36" s="127"/>
      <c r="E36" s="127"/>
      <c r="F36" s="128"/>
      <c r="G36" s="129"/>
      <c r="H36" s="129"/>
      <c r="I36" s="123"/>
      <c r="J36" s="123"/>
      <c r="K36" s="123"/>
      <c r="L36" s="123"/>
    </row>
    <row r="37" spans="1:12">
      <c r="A37" s="143"/>
      <c r="B37" s="144"/>
      <c r="C37" s="145"/>
      <c r="D37" s="145"/>
      <c r="E37" s="145"/>
      <c r="F37" s="146"/>
      <c r="G37" s="143"/>
      <c r="H37" s="147"/>
      <c r="I37" s="148"/>
      <c r="J37" s="148"/>
      <c r="K37" s="148"/>
      <c r="L37" s="148"/>
    </row>
    <row r="38" spans="1:12">
      <c r="A38" s="130"/>
      <c r="B38" s="136"/>
      <c r="C38" s="131"/>
      <c r="D38" s="131"/>
      <c r="E38" s="131"/>
      <c r="F38" s="132"/>
      <c r="G38" s="133"/>
      <c r="H38" s="129"/>
      <c r="I38" s="123"/>
      <c r="J38" s="123"/>
      <c r="K38" s="123"/>
      <c r="L38" s="123"/>
    </row>
    <row r="39" spans="1:12">
      <c r="A39" s="123"/>
      <c r="B39" s="134"/>
      <c r="C39" s="125"/>
      <c r="D39" s="125"/>
      <c r="E39" s="125"/>
      <c r="F39" s="126"/>
      <c r="G39" s="123"/>
      <c r="H39" s="129"/>
      <c r="I39" s="123"/>
      <c r="J39" s="123"/>
      <c r="K39" s="123"/>
      <c r="L39" s="123"/>
    </row>
    <row r="40" spans="1:12">
      <c r="A40" s="123"/>
      <c r="B40" s="134"/>
      <c r="C40" s="125"/>
      <c r="D40" s="125"/>
      <c r="E40" s="125"/>
      <c r="F40" s="126"/>
      <c r="G40" s="123"/>
      <c r="H40" s="129"/>
      <c r="I40" s="123"/>
      <c r="J40" s="123"/>
      <c r="K40" s="123"/>
      <c r="L40" s="123"/>
    </row>
    <row r="41" spans="1:12">
      <c r="A41" s="123"/>
      <c r="B41" s="134"/>
      <c r="C41" s="125"/>
      <c r="D41" s="125"/>
      <c r="E41" s="125"/>
      <c r="F41" s="126"/>
      <c r="G41" s="123"/>
      <c r="H41" s="133"/>
      <c r="I41" s="123"/>
      <c r="J41" s="123"/>
      <c r="K41" s="123"/>
      <c r="L41" s="123"/>
    </row>
    <row r="42" spans="1:12">
      <c r="A42" s="123"/>
      <c r="B42" s="134"/>
      <c r="C42" s="125"/>
      <c r="D42" s="125"/>
      <c r="E42" s="125"/>
      <c r="F42" s="126"/>
      <c r="G42" s="123"/>
      <c r="H42" s="123"/>
      <c r="I42" s="123"/>
      <c r="J42" s="123"/>
      <c r="K42" s="123"/>
      <c r="L42" s="123"/>
    </row>
    <row r="43" spans="1:12">
      <c r="A43" s="123"/>
      <c r="B43" s="134"/>
      <c r="C43" s="125"/>
      <c r="D43" s="125"/>
      <c r="E43" s="125"/>
      <c r="F43" s="126"/>
      <c r="G43" s="123"/>
      <c r="H43" s="123"/>
      <c r="I43" s="123"/>
      <c r="J43" s="123"/>
      <c r="K43" s="123"/>
      <c r="L43" s="123"/>
    </row>
    <row r="44" spans="1:12">
      <c r="A44" s="123"/>
      <c r="B44" s="134"/>
      <c r="C44" s="125"/>
      <c r="D44" s="125"/>
      <c r="E44" s="125"/>
      <c r="F44" s="126"/>
      <c r="G44" s="123"/>
      <c r="H44" s="123"/>
      <c r="I44" s="123"/>
      <c r="J44" s="123"/>
      <c r="K44" s="123"/>
      <c r="L44" s="123"/>
    </row>
    <row r="45" spans="1:12">
      <c r="A45" s="123"/>
      <c r="B45" s="134"/>
      <c r="C45" s="125"/>
      <c r="D45" s="125"/>
      <c r="E45" s="125"/>
      <c r="F45" s="126"/>
      <c r="G45" s="123"/>
      <c r="H45" s="123"/>
      <c r="I45" s="123"/>
      <c r="J45" s="123"/>
      <c r="K45" s="123"/>
      <c r="L45" s="123"/>
    </row>
    <row r="46" spans="1:12">
      <c r="A46" s="148"/>
      <c r="B46" s="134"/>
      <c r="C46" s="125"/>
      <c r="D46" s="125"/>
      <c r="E46" s="125"/>
      <c r="F46" s="126"/>
      <c r="G46" s="148"/>
      <c r="H46" s="148"/>
      <c r="I46" s="148"/>
      <c r="J46" s="148"/>
      <c r="K46" s="148"/>
      <c r="L46" s="148"/>
    </row>
    <row r="47" spans="1:12">
      <c r="A47" s="123"/>
      <c r="B47" s="134"/>
      <c r="C47" s="125"/>
      <c r="D47" s="125"/>
      <c r="E47" s="125"/>
      <c r="F47" s="126"/>
      <c r="G47" s="123"/>
      <c r="H47" s="123"/>
      <c r="I47" s="123"/>
      <c r="J47" s="123"/>
      <c r="K47" s="123"/>
      <c r="L47" s="123"/>
    </row>
    <row r="48" spans="1:12">
      <c r="A48" s="123"/>
      <c r="B48" s="134"/>
      <c r="C48" s="125"/>
      <c r="D48" s="125"/>
      <c r="E48" s="125"/>
      <c r="F48" s="126"/>
      <c r="G48" s="123"/>
      <c r="H48" s="123"/>
      <c r="I48" s="123"/>
      <c r="J48" s="123"/>
      <c r="K48" s="123"/>
      <c r="L48" s="123"/>
    </row>
    <row r="49" spans="1:12">
      <c r="A49" s="123"/>
      <c r="B49" s="134"/>
      <c r="C49" s="125"/>
      <c r="D49" s="125"/>
      <c r="E49" s="125"/>
      <c r="F49" s="126"/>
      <c r="G49" s="123"/>
      <c r="H49" s="123"/>
      <c r="I49" s="123"/>
      <c r="J49" s="123"/>
      <c r="K49" s="123"/>
      <c r="L49" s="123"/>
    </row>
    <row r="50" spans="1:12">
      <c r="A50" s="123"/>
      <c r="B50" s="134"/>
      <c r="C50" s="125"/>
      <c r="D50" s="125"/>
      <c r="E50" s="125"/>
      <c r="F50" s="126"/>
      <c r="G50" s="123"/>
      <c r="H50" s="123"/>
      <c r="I50" s="123"/>
      <c r="J50" s="123"/>
      <c r="K50" s="123"/>
      <c r="L50" s="123"/>
    </row>
    <row r="51" spans="1:12">
      <c r="A51" s="123"/>
      <c r="B51" s="134"/>
      <c r="C51" s="125"/>
      <c r="D51" s="125"/>
      <c r="E51" s="125"/>
      <c r="F51" s="126"/>
      <c r="G51" s="123"/>
      <c r="H51" s="123"/>
      <c r="I51" s="123"/>
      <c r="J51" s="123"/>
      <c r="K51" s="123"/>
      <c r="L51" s="123"/>
    </row>
    <row r="52" spans="1:12">
      <c r="A52" s="123"/>
      <c r="B52" s="134"/>
      <c r="C52" s="125"/>
      <c r="D52" s="125"/>
      <c r="E52" s="125"/>
      <c r="F52" s="126"/>
      <c r="G52" s="123"/>
      <c r="H52" s="123"/>
      <c r="I52" s="123"/>
      <c r="J52" s="123"/>
      <c r="K52" s="123"/>
      <c r="L52" s="123"/>
    </row>
    <row r="53" spans="1:12">
      <c r="A53" s="123"/>
      <c r="B53" s="134"/>
      <c r="C53" s="125"/>
      <c r="D53" s="125"/>
      <c r="E53" s="125"/>
      <c r="F53" s="126"/>
      <c r="G53" s="123"/>
      <c r="H53" s="123"/>
      <c r="I53" s="123"/>
      <c r="J53" s="123"/>
      <c r="K53" s="123"/>
      <c r="L53" s="123"/>
    </row>
    <row r="54" spans="1:12">
      <c r="A54" s="123"/>
      <c r="B54" s="134"/>
      <c r="C54" s="125"/>
      <c r="D54" s="125"/>
      <c r="E54" s="125"/>
      <c r="F54" s="126"/>
      <c r="G54" s="123"/>
      <c r="H54" s="123"/>
      <c r="I54" s="123"/>
      <c r="J54" s="123"/>
      <c r="K54" s="123"/>
      <c r="L54" s="123"/>
    </row>
    <row r="55" spans="1:12">
      <c r="A55" s="148"/>
      <c r="B55" s="134"/>
      <c r="C55" s="125"/>
      <c r="D55" s="125"/>
      <c r="E55" s="125"/>
      <c r="F55" s="126"/>
      <c r="G55" s="148"/>
      <c r="H55" s="148"/>
      <c r="I55" s="148"/>
      <c r="J55" s="148"/>
      <c r="K55" s="148"/>
      <c r="L55" s="148"/>
    </row>
    <row r="56" spans="1:12">
      <c r="A56" s="140" t="s">
        <v>94</v>
      </c>
      <c r="B56" s="138">
        <f>SUM(TblLoc[IDPs])</f>
        <v>2200000</v>
      </c>
      <c r="C56" s="138">
        <f>SUM(TblLoc[Refugees])</f>
        <v>1300000</v>
      </c>
      <c r="D56" s="138">
        <f>SUM(TblLoc[Migrant])</f>
        <v>600000</v>
      </c>
      <c r="E56" s="138">
        <f>SUM(TblLoc[Returnees])</f>
        <v>700000</v>
      </c>
      <c r="F56" s="138">
        <f>SUM(TblLoc[Host Communities])</f>
        <v>600000</v>
      </c>
      <c r="G56" s="139">
        <f>SUM(TblLoc[Lorem Ipsum])</f>
        <v>300000</v>
      </c>
      <c r="H56" s="141">
        <f>SUM(Table28[Female])/SUM(Table28[[Female]:[Male]])</f>
        <v>0.6</v>
      </c>
      <c r="I56" s="123"/>
      <c r="J56" s="123"/>
      <c r="K56" s="123"/>
      <c r="L56" s="123"/>
    </row>
    <row r="57" spans="1:12">
      <c r="A57" s="123"/>
      <c r="B57" s="123"/>
      <c r="C57" s="123"/>
      <c r="D57" s="123"/>
      <c r="E57" s="123"/>
      <c r="F57" s="123"/>
      <c r="G57" s="142" t="s">
        <v>111</v>
      </c>
      <c r="H57" s="123"/>
      <c r="I57" s="123"/>
      <c r="J57" s="123"/>
      <c r="K57" s="123"/>
      <c r="L57" s="123"/>
    </row>
    <row r="58" spans="1:12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1:12" s="149" customFormat="1"/>
    <row r="60" spans="1:12" s="149" customFormat="1"/>
    <row r="61" spans="1:12" s="149" customFormat="1"/>
    <row r="62" spans="1:12" s="149" customFormat="1"/>
  </sheetData>
  <mergeCells count="2">
    <mergeCell ref="A4:D4"/>
    <mergeCell ref="A23:D23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249977111117893"/>
  </sheetPr>
  <dimension ref="A1:CE41"/>
  <sheetViews>
    <sheetView showGridLines="0" topLeftCell="A10" zoomScale="70" zoomScaleNormal="70" workbookViewId="0">
      <selection activeCell="P9" sqref="P9"/>
    </sheetView>
  </sheetViews>
  <sheetFormatPr defaultRowHeight="15"/>
  <cols>
    <col min="1" max="1" width="21.28515625" customWidth="1"/>
    <col min="2" max="5" width="13.85546875" customWidth="1"/>
    <col min="6" max="6" width="20" customWidth="1"/>
    <col min="7" max="7" width="15.140625" customWidth="1"/>
    <col min="8" max="8" width="2" customWidth="1"/>
    <col min="9" max="11" width="10.85546875" customWidth="1"/>
    <col min="12" max="12" width="6.28515625" customWidth="1"/>
    <col min="13" max="13" width="10.85546875" customWidth="1"/>
    <col min="14" max="14" width="7" customWidth="1"/>
    <col min="15" max="18" width="10.85546875" customWidth="1"/>
    <col min="19" max="20" width="11.5703125" customWidth="1"/>
    <col min="27" max="27" width="13.42578125" customWidth="1"/>
    <col min="30" max="32" width="13.42578125" customWidth="1"/>
    <col min="33" max="33" width="10.28515625" bestFit="1" customWidth="1"/>
  </cols>
  <sheetData>
    <row r="1" spans="1:83" ht="28.5">
      <c r="A1" s="4" t="s">
        <v>15</v>
      </c>
      <c r="I1" s="4" t="s">
        <v>15</v>
      </c>
    </row>
    <row r="2" spans="1:83">
      <c r="A2" s="5" t="s">
        <v>16</v>
      </c>
      <c r="B2" s="5"/>
      <c r="C2" s="5"/>
      <c r="D2" s="5"/>
      <c r="E2" s="5"/>
      <c r="F2" s="5"/>
      <c r="G2" s="5"/>
      <c r="H2" s="5"/>
      <c r="I2" s="5" t="s">
        <v>16</v>
      </c>
      <c r="J2" s="5"/>
      <c r="K2" s="5"/>
      <c r="L2" s="5"/>
      <c r="M2" s="5"/>
      <c r="N2" s="5"/>
      <c r="O2" s="5"/>
      <c r="P2" s="5"/>
      <c r="Q2" s="5"/>
      <c r="R2" s="5"/>
      <c r="S2" s="5"/>
    </row>
    <row r="3" spans="1:83" ht="8.25" customHeight="1"/>
    <row r="4" spans="1:83" ht="23.25" customHeight="1">
      <c r="A4" s="157" t="s">
        <v>34</v>
      </c>
      <c r="B4" s="157"/>
      <c r="C4" s="157"/>
      <c r="D4" s="157"/>
      <c r="E4" s="8"/>
      <c r="F4" s="8"/>
      <c r="G4" s="8"/>
      <c r="H4" s="8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8"/>
    </row>
    <row r="6" spans="1:83">
      <c r="B6" t="s">
        <v>66</v>
      </c>
    </row>
    <row r="7" spans="1:83" ht="63" customHeight="1">
      <c r="A7" s="15" t="s">
        <v>36</v>
      </c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29" t="s">
        <v>8</v>
      </c>
      <c r="I7" s="66" t="s">
        <v>53</v>
      </c>
      <c r="J7" s="67" t="s">
        <v>52</v>
      </c>
      <c r="K7" s="66" t="s">
        <v>83</v>
      </c>
      <c r="L7" s="66" t="s">
        <v>49</v>
      </c>
      <c r="M7" s="66" t="s">
        <v>84</v>
      </c>
      <c r="N7" s="66" t="s">
        <v>50</v>
      </c>
      <c r="O7" s="67" t="s">
        <v>85</v>
      </c>
      <c r="P7" s="66" t="s">
        <v>51</v>
      </c>
      <c r="Q7" s="66" t="s">
        <v>65</v>
      </c>
      <c r="R7" s="66" t="s">
        <v>70</v>
      </c>
      <c r="S7" s="66" t="s">
        <v>78</v>
      </c>
      <c r="T7" s="81" t="s">
        <v>82</v>
      </c>
    </row>
    <row r="8" spans="1:83" ht="15" customHeight="1">
      <c r="A8" s="28" t="s">
        <v>75</v>
      </c>
      <c r="B8" s="80">
        <v>600000</v>
      </c>
      <c r="C8" s="80">
        <v>300000</v>
      </c>
      <c r="D8" s="80">
        <v>200000</v>
      </c>
      <c r="E8" s="80">
        <v>200000</v>
      </c>
      <c r="F8" s="80">
        <v>100000</v>
      </c>
      <c r="G8" s="80">
        <v>100000</v>
      </c>
      <c r="I8" s="64">
        <v>950000</v>
      </c>
      <c r="J8" s="65">
        <v>550000</v>
      </c>
      <c r="K8" s="64">
        <v>550000</v>
      </c>
      <c r="L8" s="78">
        <f>IFERROR(Table26[[#This Row],[Children (&lt;18 years) ]]/SUM(Table26[[#This Row],[Children (&lt;18 years) ]],Table26[[#This Row],[Adult (18-59 years) ]],Table26[[#This Row],[Elderly (&gt;59 years) ]]),"-")</f>
        <v>0.36666666666666664</v>
      </c>
      <c r="M8" s="64">
        <v>750000</v>
      </c>
      <c r="N8" s="78">
        <f>IFERROR(Table26[[#This Row],[Adult (18-59 years) ]]/SUM(Table26[[#This Row],[Children (&lt;18 years) ]],Table26[[#This Row],[Adult (18-59 years) ]],Table26[[#This Row],[Elderly (&gt;59 years) ]]),"-")</f>
        <v>0.5</v>
      </c>
      <c r="O8" s="65">
        <v>200000</v>
      </c>
      <c r="P8" s="78">
        <f>IFERROR(Table26[[#This Row],[Elderly (&gt;59 years) ]]/SUM(Table26[[#This Row],[Children (&lt;18 years) ]],Table26[[#This Row],[Adult (18-59 years) ]],Table26[[#This Row],[Elderly (&gt;59 years) ]]),"-")</f>
        <v>0.13333333333333333</v>
      </c>
      <c r="Q8" s="70">
        <f>IF(OR(SUM(TblSector5[#This Row])&lt;&gt;SUM(Table26[[#This Row],[Female]:[Male]]),SUM(TblSector5[#This Row])&lt;&gt;SUM(Table26[[#This Row],[Children (&lt;18 years) ]],Table26[[#This Row],[Adult (18-59 years) ]],Table26[[#This Row],[Elderly (&gt;59 years) ]])),"Error",SUM(TblSector5[#This Row]))</f>
        <v>1500000</v>
      </c>
      <c r="R8" s="64">
        <v>3555000</v>
      </c>
      <c r="S8" s="82">
        <f>Table26[[#This Row],[Female]]/SUM(Table26[[#This Row],[Female]:[Male]])</f>
        <v>0.6333333333333333</v>
      </c>
      <c r="T8" s="83">
        <f>Table26[[#This Row],[Male]]/SUM(Table26[[#This Row],[Female]:[Male]])</f>
        <v>0.36666666666666664</v>
      </c>
    </row>
    <row r="9" spans="1:83" ht="14.25" customHeight="1">
      <c r="A9" s="76" t="s">
        <v>76</v>
      </c>
      <c r="B9" s="80">
        <v>500000</v>
      </c>
      <c r="C9" s="80">
        <v>300000</v>
      </c>
      <c r="D9" s="80">
        <v>200000</v>
      </c>
      <c r="E9" s="80">
        <v>0</v>
      </c>
      <c r="F9" s="80">
        <v>200000</v>
      </c>
      <c r="G9" s="80">
        <v>0</v>
      </c>
      <c r="I9" s="64">
        <v>800000</v>
      </c>
      <c r="J9" s="65">
        <v>400000</v>
      </c>
      <c r="K9" s="64">
        <v>300000</v>
      </c>
      <c r="L9" s="78">
        <f>IFERROR(Table26[[#This Row],[Children (&lt;18 years) ]]/SUM(Table26[[#This Row],[Children (&lt;18 years) ]],Table26[[#This Row],[Adult (18-59 years) ]],Table26[[#This Row],[Elderly (&gt;59 years) ]]),"-")</f>
        <v>0.25</v>
      </c>
      <c r="M9" s="64">
        <v>800000</v>
      </c>
      <c r="N9" s="78">
        <f>IFERROR(Table26[[#This Row],[Adult (18-59 years) ]]/SUM(Table26[[#This Row],[Children (&lt;18 years) ]],Table26[[#This Row],[Adult (18-59 years) ]],Table26[[#This Row],[Elderly (&gt;59 years) ]]),"-")</f>
        <v>0.66666666666666663</v>
      </c>
      <c r="O9" s="65">
        <v>100000</v>
      </c>
      <c r="P9" s="78">
        <f>IFERROR(Table26[[#This Row],[Elderly (&gt;59 years) ]]/SUM(Table26[[#This Row],[Children (&lt;18 years) ]],Table26[[#This Row],[Adult (18-59 years) ]],Table26[[#This Row],[Elderly (&gt;59 years) ]]),"-")</f>
        <v>8.3333333333333329E-2</v>
      </c>
      <c r="Q9" s="68">
        <f>IF(OR(SUM(TblSector5[#This Row])&lt;&gt;SUM(Table26[[#This Row],[Female]:[Male]]),SUM(TblSector5[#This Row])&lt;&gt;SUM(Table26[[#This Row],[Children (&lt;18 years) ]],Table26[[#This Row],[Adult (18-59 years) ]],Table26[[#This Row],[Elderly (&gt;59 years) ]])),"Error",SUM(TblSector5[#This Row]))</f>
        <v>1200000</v>
      </c>
      <c r="R9" s="64">
        <v>1536000</v>
      </c>
      <c r="S9" s="82">
        <f>Table26[[#This Row],[Female]]/SUM(Table26[[#This Row],[Female]:[Male]])</f>
        <v>0.66666666666666663</v>
      </c>
      <c r="T9" s="83">
        <f>Table26[[#This Row],[Male]]/SUM(Table26[[#This Row],[Female]:[Male]])</f>
        <v>0.33333333333333331</v>
      </c>
    </row>
    <row r="10" spans="1:83">
      <c r="A10" s="28" t="s">
        <v>9</v>
      </c>
      <c r="B10" s="80">
        <v>400000</v>
      </c>
      <c r="C10" s="80">
        <v>200000</v>
      </c>
      <c r="D10" s="80">
        <v>100000</v>
      </c>
      <c r="E10" s="80">
        <v>400000</v>
      </c>
      <c r="F10" s="80">
        <v>100000</v>
      </c>
      <c r="G10" s="80">
        <v>0</v>
      </c>
      <c r="I10" s="64">
        <v>750000</v>
      </c>
      <c r="J10" s="65">
        <v>450000</v>
      </c>
      <c r="K10" s="64">
        <v>350000</v>
      </c>
      <c r="L10" s="78">
        <f>IFERROR(Table26[[#This Row],[Children (&lt;18 years) ]]/SUM(Table26[[#This Row],[Children (&lt;18 years) ]],Table26[[#This Row],[Adult (18-59 years) ]],Table26[[#This Row],[Elderly (&gt;59 years) ]]),"-")</f>
        <v>0.29166666666666669</v>
      </c>
      <c r="M10" s="64">
        <v>750000</v>
      </c>
      <c r="N10" s="78">
        <f>IFERROR(Table26[[#This Row],[Adult (18-59 years) ]]/SUM(Table26[[#This Row],[Children (&lt;18 years) ]],Table26[[#This Row],[Adult (18-59 years) ]],Table26[[#This Row],[Elderly (&gt;59 years) ]]),"-")</f>
        <v>0.625</v>
      </c>
      <c r="O10" s="65">
        <v>100000</v>
      </c>
      <c r="P10" s="78">
        <f>IFERROR(Table26[[#This Row],[Elderly (&gt;59 years) ]]/SUM(Table26[[#This Row],[Children (&lt;18 years) ]],Table26[[#This Row],[Adult (18-59 years) ]],Table26[[#This Row],[Elderly (&gt;59 years) ]]),"-")</f>
        <v>8.3333333333333329E-2</v>
      </c>
      <c r="Q10" s="68">
        <f>IF(OR(SUM(TblSector5[#This Row])&lt;&gt;SUM(Table26[[#This Row],[Female]:[Male]]),SUM(TblSector5[#This Row])&lt;&gt;SUM(Table26[[#This Row],[Children (&lt;18 years) ]],Table26[[#This Row],[Adult (18-59 years) ]],Table26[[#This Row],[Elderly (&gt;59 years) ]])),"Error",SUM(TblSector5[#This Row]))</f>
        <v>1200000</v>
      </c>
      <c r="R10" s="64">
        <v>2220000</v>
      </c>
      <c r="S10" s="82">
        <f>Table26[[#This Row],[Female]]/SUM(Table26[[#This Row],[Female]:[Male]])</f>
        <v>0.625</v>
      </c>
      <c r="T10" s="83">
        <f>Table26[[#This Row],[Male]]/SUM(Table26[[#This Row],[Female]:[Male]])</f>
        <v>0.375</v>
      </c>
    </row>
    <row r="11" spans="1:83">
      <c r="A11" s="28" t="s">
        <v>12</v>
      </c>
      <c r="B11" s="80">
        <v>200000</v>
      </c>
      <c r="C11" s="80">
        <v>100000</v>
      </c>
      <c r="D11" s="80">
        <v>0</v>
      </c>
      <c r="E11" s="80">
        <v>100000</v>
      </c>
      <c r="F11" s="80">
        <v>200000</v>
      </c>
      <c r="G11" s="80">
        <v>0</v>
      </c>
      <c r="I11" s="64">
        <v>340000</v>
      </c>
      <c r="J11" s="65">
        <v>260000</v>
      </c>
      <c r="K11" s="64">
        <v>460000</v>
      </c>
      <c r="L11" s="78">
        <f>IFERROR(Table26[[#This Row],[Children (&lt;18 years) ]]/SUM(Table26[[#This Row],[Children (&lt;18 years) ]],Table26[[#This Row],[Adult (18-59 years) ]],Table26[[#This Row],[Elderly (&gt;59 years) ]]),"-")</f>
        <v>0.76666666666666672</v>
      </c>
      <c r="M11" s="64">
        <v>50000</v>
      </c>
      <c r="N11" s="78">
        <f>IFERROR(Table26[[#This Row],[Adult (18-59 years) ]]/SUM(Table26[[#This Row],[Children (&lt;18 years) ]],Table26[[#This Row],[Adult (18-59 years) ]],Table26[[#This Row],[Elderly (&gt;59 years) ]]),"-")</f>
        <v>8.3333333333333329E-2</v>
      </c>
      <c r="O11" s="65">
        <v>90000</v>
      </c>
      <c r="P11" s="78">
        <f>IFERROR(Table26[[#This Row],[Elderly (&gt;59 years) ]]/SUM(Table26[[#This Row],[Children (&lt;18 years) ]],Table26[[#This Row],[Adult (18-59 years) ]],Table26[[#This Row],[Elderly (&gt;59 years) ]]),"-")</f>
        <v>0.15</v>
      </c>
      <c r="Q11" s="68">
        <f>IF(OR(SUM(TblSector5[#This Row])&lt;&gt;SUM(Table26[[#This Row],[Female]:[Male]]),SUM(TblSector5[#This Row])&lt;&gt;SUM(Table26[[#This Row],[Children (&lt;18 years) ]],Table26[[#This Row],[Adult (18-59 years) ]],Table26[[#This Row],[Elderly (&gt;59 years) ]])),"Error",SUM(TblSector5[#This Row]))</f>
        <v>600000</v>
      </c>
      <c r="R11" s="64">
        <v>1290000</v>
      </c>
      <c r="S11" s="82">
        <f>Table26[[#This Row],[Female]]/SUM(Table26[[#This Row],[Female]:[Male]])</f>
        <v>0.56666666666666665</v>
      </c>
      <c r="T11" s="83">
        <f>Table26[[#This Row],[Male]]/SUM(Table26[[#This Row],[Female]:[Male]])</f>
        <v>0.43333333333333335</v>
      </c>
    </row>
    <row r="12" spans="1:83">
      <c r="A12" s="28" t="s">
        <v>77</v>
      </c>
      <c r="B12" s="80">
        <v>100000</v>
      </c>
      <c r="C12" s="80">
        <v>100000</v>
      </c>
      <c r="D12" s="80">
        <v>100000</v>
      </c>
      <c r="E12" s="80">
        <v>0</v>
      </c>
      <c r="F12" s="80">
        <v>0</v>
      </c>
      <c r="G12" s="80">
        <v>200000</v>
      </c>
      <c r="I12" s="64">
        <v>250000</v>
      </c>
      <c r="J12" s="65">
        <v>250000</v>
      </c>
      <c r="K12" s="64">
        <v>100000</v>
      </c>
      <c r="L12" s="78">
        <f>IFERROR(Table26[[#This Row],[Children (&lt;18 years) ]]/SUM(Table26[[#This Row],[Children (&lt;18 years) ]],Table26[[#This Row],[Adult (18-59 years) ]],Table26[[#This Row],[Elderly (&gt;59 years) ]]),"-")</f>
        <v>0.2</v>
      </c>
      <c r="M12" s="64">
        <v>350000</v>
      </c>
      <c r="N12" s="78">
        <f>IFERROR(Table26[[#This Row],[Adult (18-59 years) ]]/SUM(Table26[[#This Row],[Children (&lt;18 years) ]],Table26[[#This Row],[Adult (18-59 years) ]],Table26[[#This Row],[Elderly (&gt;59 years) ]]),"-")</f>
        <v>0.7</v>
      </c>
      <c r="O12" s="65">
        <v>50000</v>
      </c>
      <c r="P12" s="78">
        <f>IFERROR(Table26[[#This Row],[Elderly (&gt;59 years) ]]/SUM(Table26[[#This Row],[Children (&lt;18 years) ]],Table26[[#This Row],[Adult (18-59 years) ]],Table26[[#This Row],[Elderly (&gt;59 years) ]]),"-")</f>
        <v>0.1</v>
      </c>
      <c r="Q12" s="68">
        <f>IF(OR(SUM(TblSector5[#This Row])&lt;&gt;SUM(Table26[[#This Row],[Female]:[Male]]),SUM(TblSector5[#This Row])&lt;&gt;SUM(Table26[[#This Row],[Children (&lt;18 years) ]],Table26[[#This Row],[Adult (18-59 years) ]],Table26[[#This Row],[Elderly (&gt;59 years) ]])),"Error",SUM(TblSector5[#This Row]))</f>
        <v>500000</v>
      </c>
      <c r="R12" s="64">
        <v>1245000</v>
      </c>
      <c r="S12" s="82">
        <f>Table26[[#This Row],[Female]]/SUM(Table26[[#This Row],[Female]:[Male]])</f>
        <v>0.5</v>
      </c>
      <c r="T12" s="83">
        <f>Table26[[#This Row],[Male]]/SUM(Table26[[#This Row],[Female]:[Male]])</f>
        <v>0.5</v>
      </c>
    </row>
    <row r="13" spans="1:83">
      <c r="A13" s="28" t="s">
        <v>10</v>
      </c>
      <c r="B13" s="80">
        <v>100000</v>
      </c>
      <c r="C13" s="80">
        <v>100000</v>
      </c>
      <c r="D13" s="80">
        <v>0</v>
      </c>
      <c r="E13" s="80">
        <v>0</v>
      </c>
      <c r="F13" s="80">
        <v>0</v>
      </c>
      <c r="G13" s="80">
        <v>0</v>
      </c>
      <c r="I13" s="64">
        <v>90000</v>
      </c>
      <c r="J13" s="65">
        <v>110000</v>
      </c>
      <c r="K13" s="64">
        <v>50000</v>
      </c>
      <c r="L13" s="78">
        <f>IFERROR(Table26[[#This Row],[Children (&lt;18 years) ]]/SUM(Table26[[#This Row],[Children (&lt;18 years) ]],Table26[[#This Row],[Adult (18-59 years) ]],Table26[[#This Row],[Elderly (&gt;59 years) ]]),"-")</f>
        <v>0.25</v>
      </c>
      <c r="M13" s="64">
        <v>150000</v>
      </c>
      <c r="N13" s="78">
        <f>IFERROR(Table26[[#This Row],[Adult (18-59 years) ]]/SUM(Table26[[#This Row],[Children (&lt;18 years) ]],Table26[[#This Row],[Adult (18-59 years) ]],Table26[[#This Row],[Elderly (&gt;59 years) ]]),"-")</f>
        <v>0.75</v>
      </c>
      <c r="O13" s="65">
        <v>0</v>
      </c>
      <c r="P13" s="78">
        <f>IFERROR(Table26[[#This Row],[Elderly (&gt;59 years) ]]/SUM(Table26[[#This Row],[Children (&lt;18 years) ]],Table26[[#This Row],[Adult (18-59 years) ]],Table26[[#This Row],[Elderly (&gt;59 years) ]]),"-")</f>
        <v>0</v>
      </c>
      <c r="Q13" s="68">
        <f>IF(OR(SUM(TblSector5[#This Row])&lt;&gt;SUM(Table26[[#This Row],[Female]:[Male]]),SUM(TblSector5[#This Row])&lt;&gt;SUM(Table26[[#This Row],[Children (&lt;18 years) ]],Table26[[#This Row],[Adult (18-59 years) ]],Table26[[#This Row],[Elderly (&gt;59 years) ]])),"Error",SUM(TblSector5[#This Row]))</f>
        <v>200000</v>
      </c>
      <c r="R13" s="64">
        <v>470000</v>
      </c>
      <c r="S13" s="82">
        <f>Table26[[#This Row],[Female]]/SUM(Table26[[#This Row],[Female]:[Male]])</f>
        <v>0.45</v>
      </c>
      <c r="T13" s="83">
        <f>Table26[[#This Row],[Male]]/SUM(Table26[[#This Row],[Female]:[Male]])</f>
        <v>0.55000000000000004</v>
      </c>
    </row>
    <row r="14" spans="1:83">
      <c r="A14" s="28" t="s">
        <v>11</v>
      </c>
      <c r="B14" s="80">
        <v>100000</v>
      </c>
      <c r="C14" s="80">
        <v>200000</v>
      </c>
      <c r="D14" s="80">
        <v>0</v>
      </c>
      <c r="E14" s="80">
        <v>0</v>
      </c>
      <c r="F14" s="80">
        <v>0</v>
      </c>
      <c r="G14" s="80">
        <v>0</v>
      </c>
      <c r="I14" s="64">
        <v>160000</v>
      </c>
      <c r="J14" s="65">
        <v>140000</v>
      </c>
      <c r="K14" s="64">
        <v>70000</v>
      </c>
      <c r="L14" s="78">
        <f>IFERROR(Table26[[#This Row],[Children (&lt;18 years) ]]/SUM(Table26[[#This Row],[Children (&lt;18 years) ]],Table26[[#This Row],[Adult (18-59 years) ]],Table26[[#This Row],[Elderly (&gt;59 years) ]]),"-")</f>
        <v>0.23333333333333334</v>
      </c>
      <c r="M14" s="64">
        <v>210000</v>
      </c>
      <c r="N14" s="78">
        <f>IFERROR(Table26[[#This Row],[Adult (18-59 years) ]]/SUM(Table26[[#This Row],[Children (&lt;18 years) ]],Table26[[#This Row],[Adult (18-59 years) ]],Table26[[#This Row],[Elderly (&gt;59 years) ]]),"-")</f>
        <v>0.7</v>
      </c>
      <c r="O14" s="65">
        <v>20000</v>
      </c>
      <c r="P14" s="78">
        <f>IFERROR(Table26[[#This Row],[Elderly (&gt;59 years) ]]/SUM(Table26[[#This Row],[Children (&lt;18 years) ]],Table26[[#This Row],[Adult (18-59 years) ]],Table26[[#This Row],[Elderly (&gt;59 years) ]]),"-")</f>
        <v>6.6666666666666666E-2</v>
      </c>
      <c r="Q14" s="68">
        <f>IF(OR(SUM(TblSector5[#This Row])&lt;&gt;SUM(Table26[[#This Row],[Female]:[Male]]),SUM(TblSector5[#This Row])&lt;&gt;SUM(Table26[[#This Row],[Children (&lt;18 years) ]],Table26[[#This Row],[Adult (18-59 years) ]],Table26[[#This Row],[Elderly (&gt;59 years) ]])),"Error",SUM(TblSector5[#This Row]))</f>
        <v>300000</v>
      </c>
      <c r="R14" s="64">
        <v>573000</v>
      </c>
      <c r="S14" s="82">
        <f>Table26[[#This Row],[Female]]/SUM(Table26[[#This Row],[Female]:[Male]])</f>
        <v>0.53333333333333333</v>
      </c>
      <c r="T14" s="83">
        <f>Table26[[#This Row],[Male]]/SUM(Table26[[#This Row],[Female]:[Male]])</f>
        <v>0.46666666666666667</v>
      </c>
    </row>
    <row r="15" spans="1:83">
      <c r="A15" s="28" t="s">
        <v>14</v>
      </c>
      <c r="B15" s="80">
        <v>100000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I15" s="64">
        <v>25000</v>
      </c>
      <c r="J15" s="65">
        <v>75000</v>
      </c>
      <c r="K15" s="64">
        <v>10000</v>
      </c>
      <c r="L15" s="78">
        <f>IFERROR(Table26[[#This Row],[Children (&lt;18 years) ]]/SUM(Table26[[#This Row],[Children (&lt;18 years) ]],Table26[[#This Row],[Adult (18-59 years) ]],Table26[[#This Row],[Elderly (&gt;59 years) ]]),"-")</f>
        <v>0.1</v>
      </c>
      <c r="M15" s="64">
        <v>80000</v>
      </c>
      <c r="N15" s="78">
        <f>IFERROR(Table26[[#This Row],[Adult (18-59 years) ]]/SUM(Table26[[#This Row],[Children (&lt;18 years) ]],Table26[[#This Row],[Adult (18-59 years) ]],Table26[[#This Row],[Elderly (&gt;59 years) ]]),"-")</f>
        <v>0.8</v>
      </c>
      <c r="O15" s="65">
        <v>10000</v>
      </c>
      <c r="P15" s="78">
        <f>IFERROR(Table26[[#This Row],[Elderly (&gt;59 years) ]]/SUM(Table26[[#This Row],[Children (&lt;18 years) ]],Table26[[#This Row],[Adult (18-59 years) ]],Table26[[#This Row],[Elderly (&gt;59 years) ]]),"-")</f>
        <v>0.1</v>
      </c>
      <c r="Q15" s="68">
        <f>IF(OR(SUM(TblSector5[#This Row])&lt;&gt;SUM(Table26[[#This Row],[Female]:[Male]]),SUM(TblSector5[#This Row])&lt;&gt;SUM(Table26[[#This Row],[Children (&lt;18 years) ]],Table26[[#This Row],[Adult (18-59 years) ]],Table26[[#This Row],[Elderly (&gt;59 years) ]])),"Error",SUM(TblSector5[#This Row]))</f>
        <v>100000</v>
      </c>
      <c r="R15" s="64">
        <v>162000</v>
      </c>
      <c r="S15" s="82">
        <f>Table26[[#This Row],[Female]]/SUM(Table26[[#This Row],[Female]:[Male]])</f>
        <v>0.25</v>
      </c>
      <c r="T15" s="83">
        <f>Table26[[#This Row],[Male]]/SUM(Table26[[#This Row],[Female]:[Male]])</f>
        <v>0.75</v>
      </c>
    </row>
    <row r="16" spans="1:83" ht="15" customHeight="1">
      <c r="A16" s="71" t="s">
        <v>13</v>
      </c>
      <c r="B16" s="80">
        <v>100000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I16" s="64">
        <v>55000</v>
      </c>
      <c r="J16" s="65">
        <v>45000</v>
      </c>
      <c r="K16" s="64">
        <v>80000</v>
      </c>
      <c r="L16" s="78">
        <f>IFERROR(Table26[[#This Row],[Children (&lt;18 years) ]]/SUM(Table26[[#This Row],[Children (&lt;18 years) ]],Table26[[#This Row],[Adult (18-59 years) ]],Table26[[#This Row],[Elderly (&gt;59 years) ]]),"-")</f>
        <v>0.8</v>
      </c>
      <c r="M16" s="64">
        <v>20000</v>
      </c>
      <c r="N16" s="78">
        <f>IFERROR(Table26[[#This Row],[Adult (18-59 years) ]]/SUM(Table26[[#This Row],[Children (&lt;18 years) ]],Table26[[#This Row],[Adult (18-59 years) ]],Table26[[#This Row],[Elderly (&gt;59 years) ]]),"-")</f>
        <v>0.2</v>
      </c>
      <c r="O16" s="65">
        <v>0</v>
      </c>
      <c r="P16" s="78">
        <f>IFERROR(Table26[[#This Row],[Elderly (&gt;59 years) ]]/SUM(Table26[[#This Row],[Children (&lt;18 years) ]],Table26[[#This Row],[Adult (18-59 years) ]],Table26[[#This Row],[Elderly (&gt;59 years) ]]),"-")</f>
        <v>0</v>
      </c>
      <c r="Q16" s="69">
        <f>IF(OR(SUM(TblSector5[#This Row])&lt;&gt;SUM(Table26[[#This Row],[Female]:[Male]]),SUM(TblSector5[#This Row])&lt;&gt;SUM(Table26[[#This Row],[Children (&lt;18 years) ]],Table26[[#This Row],[Adult (18-59 years) ]],Table26[[#This Row],[Elderly (&gt;59 years) ]])),"Error",SUM(TblSector5[#This Row]))</f>
        <v>100000</v>
      </c>
      <c r="R16" s="64">
        <v>184000</v>
      </c>
      <c r="S16" s="82">
        <f>Table26[[#This Row],[Female]]/SUM(Table26[[#This Row],[Female]:[Male]])</f>
        <v>0.55000000000000004</v>
      </c>
      <c r="T16" s="83">
        <f>Table26[[#This Row],[Male]]/SUM(Table26[[#This Row],[Female]:[Male]])</f>
        <v>0.45</v>
      </c>
    </row>
    <row r="19" spans="1:7" ht="14.25" customHeight="1"/>
    <row r="20" spans="1:7" ht="14.25" customHeight="1">
      <c r="A20" s="4"/>
    </row>
    <row r="21" spans="1:7">
      <c r="A21" s="5" t="s">
        <v>86</v>
      </c>
      <c r="B21" s="5"/>
      <c r="C21" s="5"/>
      <c r="D21" s="5"/>
      <c r="E21" s="5"/>
      <c r="F21" s="5"/>
      <c r="G21" s="5"/>
    </row>
    <row r="23" spans="1:7" ht="18.75">
      <c r="A23" s="157"/>
      <c r="B23" s="157"/>
      <c r="C23" s="157"/>
      <c r="D23" s="157"/>
    </row>
    <row r="30" spans="1:7">
      <c r="A30" t="s">
        <v>87</v>
      </c>
    </row>
    <row r="32" spans="1:7">
      <c r="B32" s="2"/>
      <c r="C32" s="2"/>
      <c r="D32" s="2"/>
      <c r="E32" s="2"/>
      <c r="F32" s="2"/>
      <c r="G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 t="s">
        <v>88</v>
      </c>
      <c r="B36" s="2"/>
      <c r="C36" s="2"/>
      <c r="D36" s="2"/>
      <c r="E36" s="2"/>
      <c r="F36" s="2"/>
      <c r="G36" s="2"/>
      <c r="H36" s="2"/>
    </row>
    <row r="37" spans="1:8">
      <c r="A37" s="1"/>
      <c r="B37" s="1"/>
      <c r="C37" s="1"/>
      <c r="D37" s="1"/>
      <c r="E37" s="1"/>
      <c r="F37" s="1"/>
      <c r="G37" s="1"/>
      <c r="H37" s="2"/>
    </row>
    <row r="38" spans="1:8">
      <c r="A38" s="1"/>
      <c r="B38" s="3"/>
      <c r="C38" s="3"/>
      <c r="D38" s="3"/>
      <c r="E38" s="3"/>
      <c r="F38" s="3"/>
      <c r="G38" s="3"/>
      <c r="H38" s="2"/>
    </row>
    <row r="39" spans="1:8">
      <c r="H39" s="2"/>
    </row>
    <row r="40" spans="1:8">
      <c r="H40" s="1"/>
    </row>
    <row r="41" spans="1:8">
      <c r="H41" s="3"/>
    </row>
  </sheetData>
  <mergeCells count="2">
    <mergeCell ref="A4:D4"/>
    <mergeCell ref="A23:D23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CC558"/>
  <sheetViews>
    <sheetView showGridLines="0" tabSelected="1" topLeftCell="A13" zoomScale="40" zoomScaleNormal="40" workbookViewId="0">
      <selection activeCell="I13" sqref="I13:CC82"/>
    </sheetView>
  </sheetViews>
  <sheetFormatPr defaultRowHeight="15"/>
  <cols>
    <col min="1" max="1" width="28.42578125" customWidth="1"/>
    <col min="2" max="2" width="12" customWidth="1"/>
    <col min="3" max="6" width="12.42578125" customWidth="1"/>
    <col min="7" max="7" width="5.5703125" customWidth="1"/>
    <col min="8" max="81" width="1.5703125" customWidth="1"/>
    <col min="82" max="103" width="9.140625" customWidth="1"/>
  </cols>
  <sheetData>
    <row r="1" spans="1:80" ht="28.5">
      <c r="A1" s="4" t="s">
        <v>15</v>
      </c>
      <c r="K1" s="4" t="s">
        <v>15</v>
      </c>
    </row>
    <row r="2" spans="1:80">
      <c r="A2" s="5" t="s">
        <v>33</v>
      </c>
      <c r="B2" s="5"/>
      <c r="C2" s="5"/>
      <c r="D2" s="5"/>
      <c r="E2" s="5"/>
      <c r="F2" s="5"/>
      <c r="G2" s="5"/>
      <c r="H2" s="5"/>
      <c r="I2" s="5"/>
      <c r="J2" s="5"/>
      <c r="K2" s="5" t="s">
        <v>33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8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1:80" ht="28.5" customHeight="1">
      <c r="A4" s="157" t="s">
        <v>34</v>
      </c>
      <c r="B4" s="157"/>
      <c r="C4" s="157"/>
      <c r="D4" s="157"/>
      <c r="E4" s="39"/>
      <c r="F4" s="39"/>
      <c r="G4" s="8"/>
      <c r="H4" s="8"/>
      <c r="I4" s="8"/>
      <c r="J4" s="8"/>
      <c r="K4" s="8"/>
      <c r="L4" s="157" t="s">
        <v>35</v>
      </c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8"/>
    </row>
    <row r="5" spans="1:8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7" spans="1:80" ht="6" customHeight="1"/>
    <row r="8" spans="1:80" ht="15" customHeight="1">
      <c r="A8" s="189" t="s">
        <v>63</v>
      </c>
      <c r="B8" s="189"/>
      <c r="C8" s="189"/>
      <c r="D8" s="189"/>
      <c r="E8" s="58">
        <v>45283627</v>
      </c>
    </row>
    <row r="9" spans="1:80" ht="15" customHeight="1"/>
    <row r="10" spans="1:80" ht="15" customHeight="1">
      <c r="A10" s="189" t="s">
        <v>64</v>
      </c>
      <c r="B10" s="189"/>
      <c r="C10" s="189"/>
      <c r="D10" s="189"/>
      <c r="E10" s="58">
        <v>6985622</v>
      </c>
    </row>
    <row r="11" spans="1:80" ht="15" customHeight="1"/>
    <row r="12" spans="1:80" ht="15" customHeight="1"/>
    <row r="13" spans="1:80" ht="15" customHeight="1"/>
    <row r="14" spans="1:80" ht="26.25" customHeight="1">
      <c r="A14" s="52" t="s">
        <v>19</v>
      </c>
      <c r="B14" s="52"/>
      <c r="C14" s="50">
        <f>SUM(C15:C20)</f>
        <v>2857815</v>
      </c>
      <c r="D14" s="51">
        <f t="shared" ref="D14:D20" si="0">ROUND(C14/$J$27,2)</f>
        <v>1</v>
      </c>
      <c r="E14" s="43"/>
      <c r="F14" s="43"/>
      <c r="J14" s="179" t="s">
        <v>71</v>
      </c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</row>
    <row r="15" spans="1:80" ht="15" customHeight="1">
      <c r="A15" s="166" t="s">
        <v>20</v>
      </c>
      <c r="B15" s="166"/>
      <c r="C15" s="14">
        <v>1236548</v>
      </c>
      <c r="D15" s="13">
        <f t="shared" si="0"/>
        <v>0.43</v>
      </c>
      <c r="E15" s="44"/>
      <c r="F15" s="44"/>
      <c r="J15" s="190">
        <f>E8</f>
        <v>45283627</v>
      </c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59"/>
      <c r="AA15" s="59"/>
      <c r="AB15" s="59"/>
      <c r="AC15" s="59"/>
      <c r="AD15" s="59"/>
    </row>
    <row r="16" spans="1:80" ht="15" customHeight="1">
      <c r="A16" s="167" t="s">
        <v>4</v>
      </c>
      <c r="B16" s="167"/>
      <c r="C16" s="14">
        <v>622584</v>
      </c>
      <c r="D16" s="13">
        <f t="shared" si="0"/>
        <v>0.22</v>
      </c>
      <c r="E16" s="44"/>
      <c r="F16" s="44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60"/>
      <c r="AA16" s="60"/>
      <c r="AB16" s="60"/>
      <c r="AC16" s="60"/>
      <c r="AD16" s="60"/>
    </row>
    <row r="17" spans="1:81" ht="15" customHeight="1">
      <c r="A17" s="167" t="s">
        <v>21</v>
      </c>
      <c r="B17" s="167"/>
      <c r="C17" s="14">
        <v>499622</v>
      </c>
      <c r="D17" s="13">
        <f t="shared" si="0"/>
        <v>0.17</v>
      </c>
      <c r="E17" s="44"/>
      <c r="F17" s="44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60"/>
      <c r="AA17" s="60"/>
      <c r="AB17" s="60"/>
      <c r="AC17" s="60"/>
      <c r="AD17" s="60"/>
    </row>
    <row r="18" spans="1:81" ht="15" customHeight="1">
      <c r="A18" s="167" t="s">
        <v>6</v>
      </c>
      <c r="B18" s="167"/>
      <c r="C18" s="14">
        <v>249855</v>
      </c>
      <c r="D18" s="13">
        <f t="shared" si="0"/>
        <v>0.09</v>
      </c>
      <c r="E18" s="44"/>
      <c r="F18" s="44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60"/>
      <c r="AA18" s="60"/>
      <c r="AB18" s="60"/>
      <c r="AC18" s="60"/>
      <c r="AD18" s="60"/>
    </row>
    <row r="19" spans="1:81" ht="15" customHeight="1">
      <c r="A19" s="167" t="s">
        <v>7</v>
      </c>
      <c r="B19" s="167"/>
      <c r="C19" s="14">
        <v>149622</v>
      </c>
      <c r="D19" s="13">
        <f t="shared" si="0"/>
        <v>0.05</v>
      </c>
      <c r="E19" s="44"/>
      <c r="F19" s="44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61"/>
      <c r="AA19" s="61"/>
      <c r="AB19" s="61"/>
      <c r="AC19" s="61"/>
      <c r="AD19" s="61"/>
    </row>
    <row r="20" spans="1:81" ht="26.25" customHeight="1">
      <c r="A20" s="165" t="s">
        <v>8</v>
      </c>
      <c r="B20" s="165"/>
      <c r="C20" s="53">
        <v>99584</v>
      </c>
      <c r="D20" s="54">
        <f t="shared" si="0"/>
        <v>0.03</v>
      </c>
      <c r="E20" s="44"/>
      <c r="F20" s="44"/>
      <c r="J20" s="179" t="s">
        <v>72</v>
      </c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</row>
    <row r="21" spans="1:81" ht="15" customHeight="1">
      <c r="A21" s="40"/>
      <c r="B21" s="40"/>
      <c r="C21" s="14"/>
      <c r="D21" s="44"/>
      <c r="E21" s="44"/>
      <c r="F21" s="44"/>
      <c r="J21" s="190">
        <f>E10</f>
        <v>6985622</v>
      </c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59"/>
      <c r="AA21" s="59"/>
      <c r="AB21" s="59"/>
      <c r="AC21" s="59"/>
      <c r="AD21" s="59"/>
    </row>
    <row r="22" spans="1:81" ht="15" customHeight="1">
      <c r="A22" s="15" t="s">
        <v>19</v>
      </c>
      <c r="B22" s="15"/>
      <c r="C22" s="45" t="str">
        <f xml:space="preserve"> TEXT(C26/$E$26,"0%") &amp; " Female"</f>
        <v>54% Female</v>
      </c>
      <c r="D22" s="45" t="str">
        <f xml:space="preserve"> TEXT(D26/$E$26,"0%") &amp; " Male"</f>
        <v>46% Male</v>
      </c>
      <c r="E22" s="45" t="s">
        <v>54</v>
      </c>
      <c r="F22" s="45" t="s">
        <v>55</v>
      </c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60"/>
      <c r="AA22" s="60"/>
      <c r="AB22" s="60"/>
      <c r="AC22" s="60"/>
      <c r="AD22" s="60"/>
    </row>
    <row r="23" spans="1:81" ht="15" customHeight="1">
      <c r="A23" s="166" t="s">
        <v>49</v>
      </c>
      <c r="B23" s="166"/>
      <c r="C23" s="14">
        <v>450000</v>
      </c>
      <c r="D23" s="14">
        <v>350000</v>
      </c>
      <c r="E23" s="46">
        <f>SUM(C23:D23)</f>
        <v>800000</v>
      </c>
      <c r="F23" s="13">
        <f>ROUND(E23/$E$26,2)</f>
        <v>0.28000000000000003</v>
      </c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60"/>
      <c r="AA23" s="60"/>
      <c r="AB23" s="60"/>
      <c r="AC23" s="60"/>
      <c r="AD23" s="60"/>
    </row>
    <row r="24" spans="1:81" ht="15" customHeight="1">
      <c r="A24" s="167" t="s">
        <v>50</v>
      </c>
      <c r="B24" s="167"/>
      <c r="C24" s="14">
        <v>950000</v>
      </c>
      <c r="D24" s="14">
        <v>807815</v>
      </c>
      <c r="E24" s="46">
        <f t="shared" ref="E24:E25" si="1">SUM(C24:D24)</f>
        <v>1757815</v>
      </c>
      <c r="F24" s="13">
        <f>ROUND(E24/$E$26,2)</f>
        <v>0.62</v>
      </c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60"/>
      <c r="AA24" s="60"/>
      <c r="AB24" s="60"/>
      <c r="AC24" s="60"/>
      <c r="AD24" s="60"/>
    </row>
    <row r="25" spans="1:81" s="48" customFormat="1" ht="27" customHeight="1">
      <c r="A25" s="177" t="s">
        <v>51</v>
      </c>
      <c r="B25" s="177"/>
      <c r="C25" s="55">
        <v>138000</v>
      </c>
      <c r="D25" s="55">
        <v>162000</v>
      </c>
      <c r="E25" s="56">
        <f t="shared" si="1"/>
        <v>300000</v>
      </c>
      <c r="F25" s="57">
        <f>ROUND(E25/E26,2)</f>
        <v>0.1</v>
      </c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61"/>
      <c r="AA25" s="61"/>
      <c r="AB25" s="61"/>
      <c r="AC25" s="61"/>
      <c r="AD25" s="61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</row>
    <row r="26" spans="1:81" ht="25.5" customHeight="1">
      <c r="A26" s="178" t="s">
        <v>54</v>
      </c>
      <c r="B26" s="178"/>
      <c r="C26" s="49">
        <f t="shared" ref="C26:D26" si="2">SUM(C23:C25)</f>
        <v>1538000</v>
      </c>
      <c r="D26" s="49">
        <f t="shared" si="2"/>
        <v>1319815</v>
      </c>
      <c r="E26" s="50">
        <f>SUM(E23:E25)</f>
        <v>2857815</v>
      </c>
      <c r="F26" s="51">
        <f>ROUND(E26/$E$26,2)</f>
        <v>1</v>
      </c>
      <c r="J26" s="179" t="s">
        <v>17</v>
      </c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</row>
    <row r="27" spans="1:81" ht="15" customHeight="1">
      <c r="A27" s="40"/>
      <c r="B27" s="40"/>
      <c r="C27" s="47" t="s">
        <v>57</v>
      </c>
      <c r="D27" s="44" t="s">
        <v>56</v>
      </c>
      <c r="E27" s="44"/>
      <c r="F27" s="44"/>
      <c r="J27" s="180">
        <f>C14</f>
        <v>2857815</v>
      </c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62"/>
      <c r="AA27" s="62"/>
      <c r="AB27" s="62"/>
      <c r="AC27" s="62"/>
    </row>
    <row r="28" spans="1:81" ht="15" customHeight="1">
      <c r="A28" s="40"/>
      <c r="B28" s="40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63"/>
      <c r="AA28" s="63"/>
      <c r="AB28" s="63"/>
      <c r="AC28" s="63"/>
    </row>
    <row r="29" spans="1:81" ht="15" customHeight="1">
      <c r="A29" s="40"/>
      <c r="B29" s="40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63"/>
      <c r="AA29" s="63"/>
      <c r="AB29" s="63"/>
      <c r="AC29" s="63"/>
    </row>
    <row r="30" spans="1:81" ht="15" customHeight="1">
      <c r="A30" s="40"/>
      <c r="B30" s="40"/>
      <c r="C30" s="14"/>
      <c r="D30" s="44"/>
      <c r="E30" s="44"/>
      <c r="F30" s="44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63"/>
      <c r="AA30" s="63"/>
      <c r="AB30" s="63"/>
      <c r="AC30" s="63"/>
    </row>
    <row r="31" spans="1:81" ht="15" customHeight="1">
      <c r="A31" s="40"/>
      <c r="B31" s="40"/>
      <c r="C31" s="14"/>
      <c r="D31" s="44"/>
      <c r="E31" s="44"/>
      <c r="F31" s="44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63"/>
      <c r="AA31" s="63"/>
      <c r="AB31" s="63"/>
      <c r="AC31" s="63"/>
    </row>
    <row r="32" spans="1:81" ht="6.75" customHeight="1"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</row>
    <row r="33" spans="10:81" ht="7.5" customHeight="1">
      <c r="J33" s="9"/>
      <c r="K33" s="162" t="str">
        <f>UPPER(A15)</f>
        <v>INTERNALLY DISPLACED PERS.</v>
      </c>
      <c r="L33" s="162"/>
      <c r="M33" s="162"/>
      <c r="N33" s="162"/>
      <c r="O33" s="162"/>
      <c r="P33" s="162"/>
      <c r="Q33" s="162"/>
      <c r="R33" s="162"/>
      <c r="S33" s="162"/>
      <c r="T33" s="162"/>
      <c r="U33" s="9"/>
      <c r="V33" s="9"/>
      <c r="W33" s="162" t="str">
        <f>UPPER(A16)</f>
        <v>REFUGEES</v>
      </c>
      <c r="X33" s="162"/>
      <c r="Y33" s="162"/>
      <c r="Z33" s="162"/>
      <c r="AA33" s="162"/>
      <c r="AB33" s="162"/>
      <c r="AC33" s="162"/>
      <c r="AD33" s="162"/>
      <c r="AE33" s="162"/>
      <c r="AF33" s="162"/>
      <c r="AG33" s="9"/>
      <c r="AH33" s="9"/>
      <c r="AI33" s="162" t="str">
        <f>UPPER(A17)</f>
        <v>MIGRANTS</v>
      </c>
      <c r="AJ33" s="162"/>
      <c r="AK33" s="162"/>
      <c r="AL33" s="162"/>
      <c r="AM33" s="162"/>
      <c r="AN33" s="162"/>
      <c r="AO33" s="162"/>
      <c r="AP33" s="162"/>
      <c r="AQ33" s="162"/>
      <c r="AR33" s="162"/>
      <c r="AS33" s="9"/>
      <c r="AT33" s="41"/>
      <c r="AU33" s="169" t="str">
        <f>UPPER(A23)</f>
        <v>CHILDREN (&lt;18 YEARS)</v>
      </c>
      <c r="AV33" s="169"/>
      <c r="AW33" s="169"/>
      <c r="AX33" s="169"/>
      <c r="AY33" s="169"/>
      <c r="AZ33" s="169"/>
      <c r="BA33" s="169"/>
      <c r="BB33" s="169"/>
      <c r="BC33" s="169"/>
      <c r="BD33" s="169"/>
      <c r="BE33" s="41"/>
      <c r="BF33" s="41"/>
      <c r="BG33" s="169" t="str">
        <f>UPPER(A24)</f>
        <v>ADULT (18-59 YEARS)</v>
      </c>
      <c r="BH33" s="169"/>
      <c r="BI33" s="169"/>
      <c r="BJ33" s="169"/>
      <c r="BK33" s="169"/>
      <c r="BL33" s="169"/>
      <c r="BM33" s="169"/>
      <c r="BN33" s="169"/>
      <c r="BO33" s="169"/>
      <c r="BP33" s="169"/>
      <c r="BQ33" s="41"/>
      <c r="BR33" s="41"/>
      <c r="BS33" s="169" t="str">
        <f>UPPER(A25)</f>
        <v>ELDERLY (&gt;59 YEARS)</v>
      </c>
      <c r="BT33" s="169"/>
      <c r="BU33" s="169"/>
      <c r="BV33" s="169"/>
      <c r="BW33" s="169"/>
      <c r="BX33" s="169"/>
      <c r="BY33" s="169"/>
      <c r="BZ33" s="169"/>
      <c r="CA33" s="169"/>
      <c r="CB33" s="169"/>
      <c r="CC33" s="41"/>
    </row>
    <row r="34" spans="10:81" ht="23.25" customHeight="1">
      <c r="J34" s="9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9"/>
      <c r="V34" s="9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9"/>
      <c r="AH34" s="9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9"/>
      <c r="AT34" s="41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41"/>
      <c r="BF34" s="41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41"/>
      <c r="BR34" s="41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41"/>
    </row>
    <row r="35" spans="10:81" ht="4.5" customHeight="1"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</row>
    <row r="36" spans="10:81" ht="15.75" customHeight="1">
      <c r="J36" s="161">
        <f>C15</f>
        <v>1236548</v>
      </c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0"/>
      <c r="V36" s="161">
        <f>C16</f>
        <v>622584</v>
      </c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0"/>
      <c r="AH36" s="161">
        <f>C17</f>
        <v>499622</v>
      </c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0"/>
      <c r="AT36" s="171">
        <f>E23</f>
        <v>800000</v>
      </c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41"/>
      <c r="BF36" s="171">
        <f>E24</f>
        <v>1757815</v>
      </c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41"/>
      <c r="BR36" s="171">
        <f>E25</f>
        <v>300000</v>
      </c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41"/>
    </row>
    <row r="37" spans="10:81" ht="15.75" customHeight="1"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0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0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4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4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41"/>
    </row>
    <row r="38" spans="10:81" ht="12.75" customHeight="1"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</row>
    <row r="39" spans="10:81" ht="8.4499999999999993" customHeight="1">
      <c r="J39" s="9"/>
      <c r="K39" s="11">
        <f t="shared" ref="K39:K46" si="3">K40+0.1</f>
        <v>0.90999999999999992</v>
      </c>
      <c r="L39" s="11">
        <f t="shared" ref="L39:L46" si="4">L40+0.1</f>
        <v>0.91999999999999993</v>
      </c>
      <c r="M39" s="11">
        <f t="shared" ref="M39:M46" si="5">M40+0.1</f>
        <v>0.92999999999999994</v>
      </c>
      <c r="N39" s="11">
        <f t="shared" ref="N39:N46" si="6">N40+0.1</f>
        <v>0.94</v>
      </c>
      <c r="O39" s="11">
        <f t="shared" ref="O39:O46" si="7">O40+0.1</f>
        <v>0.94999999999999984</v>
      </c>
      <c r="P39" s="11">
        <f t="shared" ref="P39:P46" si="8">P40+0.1</f>
        <v>0.95999999999999985</v>
      </c>
      <c r="Q39" s="11">
        <f t="shared" ref="Q39:Q46" si="9">Q40+0.1</f>
        <v>0.96999999999999986</v>
      </c>
      <c r="R39" s="11">
        <f t="shared" ref="R39:R46" si="10">R40+0.1</f>
        <v>0.97999999999999987</v>
      </c>
      <c r="S39" s="11">
        <f t="shared" ref="S39:S46" si="11">S40+0.1</f>
        <v>0.98999999999999988</v>
      </c>
      <c r="T39" s="11">
        <f t="shared" ref="T39:T46" si="12">T40+0.1</f>
        <v>0.99999999999999989</v>
      </c>
      <c r="U39" s="9"/>
      <c r="V39" s="9"/>
      <c r="W39" s="11">
        <f t="shared" ref="W39:W46" si="13">W40+0.1</f>
        <v>0.90999999999999992</v>
      </c>
      <c r="X39" s="11">
        <f t="shared" ref="X39:X47" si="14">X40+0.1</f>
        <v>0.91999999999999993</v>
      </c>
      <c r="Y39" s="11">
        <f t="shared" ref="Y39:Y47" si="15">Y40+0.1</f>
        <v>0.92999999999999994</v>
      </c>
      <c r="Z39" s="11">
        <f t="shared" ref="Z39:Z47" si="16">Z40+0.1</f>
        <v>0.94</v>
      </c>
      <c r="AA39" s="11">
        <f t="shared" ref="AA39:AA47" si="17">AA40+0.1</f>
        <v>0.94999999999999984</v>
      </c>
      <c r="AB39" s="11">
        <f t="shared" ref="AB39:AB47" si="18">AB40+0.1</f>
        <v>0.95999999999999985</v>
      </c>
      <c r="AC39" s="11">
        <f t="shared" ref="AC39:AC47" si="19">AC40+0.1</f>
        <v>0.96999999999999986</v>
      </c>
      <c r="AD39" s="11">
        <f t="shared" ref="AD39:AD47" si="20">AD40+0.1</f>
        <v>0.97999999999999987</v>
      </c>
      <c r="AE39" s="11">
        <f t="shared" ref="AE39:AE47" si="21">AE40+0.1</f>
        <v>0.98999999999999988</v>
      </c>
      <c r="AF39" s="11">
        <f t="shared" ref="AF39:AF47" si="22">AF40+0.1</f>
        <v>0.99999999999999989</v>
      </c>
      <c r="AG39" s="9"/>
      <c r="AH39" s="9"/>
      <c r="AI39" s="11">
        <f t="shared" ref="AI39:AI46" si="23">AI40+0.1</f>
        <v>0.90999999999999992</v>
      </c>
      <c r="AJ39" s="11">
        <f t="shared" ref="AJ39:AJ47" si="24">AJ40+0.1</f>
        <v>0.91999999999999993</v>
      </c>
      <c r="AK39" s="11">
        <f t="shared" ref="AK39:AK47" si="25">AK40+0.1</f>
        <v>0.92999999999999994</v>
      </c>
      <c r="AL39" s="11">
        <f t="shared" ref="AL39:AL47" si="26">AL40+0.1</f>
        <v>0.94</v>
      </c>
      <c r="AM39" s="11">
        <f t="shared" ref="AM39:AM47" si="27">AM40+0.1</f>
        <v>0.94999999999999984</v>
      </c>
      <c r="AN39" s="11">
        <f t="shared" ref="AN39:AN47" si="28">AN40+0.1</f>
        <v>0.95999999999999985</v>
      </c>
      <c r="AO39" s="11">
        <f t="shared" ref="AO39:AO47" si="29">AO40+0.1</f>
        <v>0.96999999999999986</v>
      </c>
      <c r="AP39" s="11">
        <f t="shared" ref="AP39:AP47" si="30">AP40+0.1</f>
        <v>0.97999999999999987</v>
      </c>
      <c r="AQ39" s="11">
        <f t="shared" ref="AQ39:AQ47" si="31">AQ40+0.1</f>
        <v>0.98999999999999988</v>
      </c>
      <c r="AR39" s="11">
        <f t="shared" ref="AR39:AR47" si="32">AR40+0.1</f>
        <v>0.99999999999999989</v>
      </c>
      <c r="AS39" s="9"/>
      <c r="AT39" s="41"/>
      <c r="AU39" s="11">
        <f t="shared" ref="AU39:BD47" si="33">AU40+0.1</f>
        <v>0.90999999999999992</v>
      </c>
      <c r="AV39" s="11">
        <f t="shared" si="33"/>
        <v>0.91999999999999993</v>
      </c>
      <c r="AW39" s="11">
        <f t="shared" si="33"/>
        <v>0.92999999999999994</v>
      </c>
      <c r="AX39" s="11">
        <f t="shared" si="33"/>
        <v>0.94</v>
      </c>
      <c r="AY39" s="11">
        <f t="shared" si="33"/>
        <v>0.94999999999999984</v>
      </c>
      <c r="AZ39" s="11">
        <f t="shared" si="33"/>
        <v>0.95999999999999985</v>
      </c>
      <c r="BA39" s="11">
        <f t="shared" si="33"/>
        <v>0.96999999999999986</v>
      </c>
      <c r="BB39" s="11">
        <f t="shared" si="33"/>
        <v>0.97999999999999987</v>
      </c>
      <c r="BC39" s="11">
        <f t="shared" si="33"/>
        <v>0.98999999999999988</v>
      </c>
      <c r="BD39" s="11">
        <f t="shared" si="33"/>
        <v>0.99999999999999989</v>
      </c>
      <c r="BE39" s="41"/>
      <c r="BF39" s="41"/>
      <c r="BG39" s="11">
        <f t="shared" ref="BG39:BP47" si="34">BG40+0.1</f>
        <v>0.90999999999999992</v>
      </c>
      <c r="BH39" s="11">
        <f t="shared" si="34"/>
        <v>0.91999999999999993</v>
      </c>
      <c r="BI39" s="11">
        <f t="shared" si="34"/>
        <v>0.92999999999999994</v>
      </c>
      <c r="BJ39" s="11">
        <f t="shared" si="34"/>
        <v>0.94</v>
      </c>
      <c r="BK39" s="11">
        <f t="shared" si="34"/>
        <v>0.94999999999999984</v>
      </c>
      <c r="BL39" s="11">
        <f t="shared" si="34"/>
        <v>0.95999999999999985</v>
      </c>
      <c r="BM39" s="11">
        <f t="shared" si="34"/>
        <v>0.96999999999999986</v>
      </c>
      <c r="BN39" s="11">
        <f t="shared" si="34"/>
        <v>0.97999999999999987</v>
      </c>
      <c r="BO39" s="11">
        <f t="shared" si="34"/>
        <v>0.98999999999999988</v>
      </c>
      <c r="BP39" s="11">
        <f t="shared" si="34"/>
        <v>0.99999999999999989</v>
      </c>
      <c r="BQ39" s="41"/>
      <c r="BR39" s="41"/>
      <c r="BS39" s="11">
        <f t="shared" ref="BS39:CB47" si="35">BS40+0.1</f>
        <v>0.90999999999999992</v>
      </c>
      <c r="BT39" s="11">
        <f t="shared" si="35"/>
        <v>0.91999999999999993</v>
      </c>
      <c r="BU39" s="11">
        <f t="shared" si="35"/>
        <v>0.92999999999999994</v>
      </c>
      <c r="BV39" s="11">
        <f t="shared" si="35"/>
        <v>0.94</v>
      </c>
      <c r="BW39" s="11">
        <f t="shared" si="35"/>
        <v>0.94999999999999984</v>
      </c>
      <c r="BX39" s="11">
        <f t="shared" si="35"/>
        <v>0.95999999999999985</v>
      </c>
      <c r="BY39" s="11">
        <f t="shared" si="35"/>
        <v>0.96999999999999986</v>
      </c>
      <c r="BZ39" s="11">
        <f t="shared" si="35"/>
        <v>0.97999999999999987</v>
      </c>
      <c r="CA39" s="11">
        <f t="shared" si="35"/>
        <v>0.98999999999999988</v>
      </c>
      <c r="CB39" s="11">
        <f t="shared" si="35"/>
        <v>0.99999999999999989</v>
      </c>
      <c r="CC39" s="41"/>
    </row>
    <row r="40" spans="10:81" ht="8.4499999999999993" customHeight="1">
      <c r="J40" s="9"/>
      <c r="K40" s="11">
        <f t="shared" si="3"/>
        <v>0.80999999999999994</v>
      </c>
      <c r="L40" s="11">
        <f t="shared" si="4"/>
        <v>0.82</v>
      </c>
      <c r="M40" s="11">
        <f t="shared" si="5"/>
        <v>0.83</v>
      </c>
      <c r="N40" s="11">
        <f t="shared" si="6"/>
        <v>0.84</v>
      </c>
      <c r="O40" s="11">
        <f t="shared" si="7"/>
        <v>0.84999999999999987</v>
      </c>
      <c r="P40" s="11">
        <f t="shared" si="8"/>
        <v>0.85999999999999988</v>
      </c>
      <c r="Q40" s="11">
        <f t="shared" si="9"/>
        <v>0.86999999999999988</v>
      </c>
      <c r="R40" s="11">
        <f t="shared" si="10"/>
        <v>0.87999999999999989</v>
      </c>
      <c r="S40" s="11">
        <f t="shared" si="11"/>
        <v>0.8899999999999999</v>
      </c>
      <c r="T40" s="11">
        <f t="shared" si="12"/>
        <v>0.89999999999999991</v>
      </c>
      <c r="U40" s="9"/>
      <c r="V40" s="9"/>
      <c r="W40" s="11">
        <f t="shared" si="13"/>
        <v>0.80999999999999994</v>
      </c>
      <c r="X40" s="11">
        <f t="shared" si="14"/>
        <v>0.82</v>
      </c>
      <c r="Y40" s="11">
        <f t="shared" si="15"/>
        <v>0.83</v>
      </c>
      <c r="Z40" s="11">
        <f t="shared" si="16"/>
        <v>0.84</v>
      </c>
      <c r="AA40" s="11">
        <f t="shared" si="17"/>
        <v>0.84999999999999987</v>
      </c>
      <c r="AB40" s="11">
        <f t="shared" si="18"/>
        <v>0.85999999999999988</v>
      </c>
      <c r="AC40" s="11">
        <f t="shared" si="19"/>
        <v>0.86999999999999988</v>
      </c>
      <c r="AD40" s="11">
        <f t="shared" si="20"/>
        <v>0.87999999999999989</v>
      </c>
      <c r="AE40" s="11">
        <f t="shared" si="21"/>
        <v>0.8899999999999999</v>
      </c>
      <c r="AF40" s="11">
        <f t="shared" si="22"/>
        <v>0.89999999999999991</v>
      </c>
      <c r="AG40" s="9"/>
      <c r="AH40" s="9"/>
      <c r="AI40" s="11">
        <f t="shared" si="23"/>
        <v>0.80999999999999994</v>
      </c>
      <c r="AJ40" s="11">
        <f t="shared" si="24"/>
        <v>0.82</v>
      </c>
      <c r="AK40" s="11">
        <f t="shared" si="25"/>
        <v>0.83</v>
      </c>
      <c r="AL40" s="11">
        <f t="shared" si="26"/>
        <v>0.84</v>
      </c>
      <c r="AM40" s="11">
        <f t="shared" si="27"/>
        <v>0.84999999999999987</v>
      </c>
      <c r="AN40" s="11">
        <f t="shared" si="28"/>
        <v>0.85999999999999988</v>
      </c>
      <c r="AO40" s="11">
        <f t="shared" si="29"/>
        <v>0.86999999999999988</v>
      </c>
      <c r="AP40" s="11">
        <f t="shared" si="30"/>
        <v>0.87999999999999989</v>
      </c>
      <c r="AQ40" s="11">
        <f t="shared" si="31"/>
        <v>0.8899999999999999</v>
      </c>
      <c r="AR40" s="11">
        <f t="shared" si="32"/>
        <v>0.89999999999999991</v>
      </c>
      <c r="AS40" s="9"/>
      <c r="AT40" s="41"/>
      <c r="AU40" s="11">
        <f t="shared" si="33"/>
        <v>0.80999999999999994</v>
      </c>
      <c r="AV40" s="11">
        <f t="shared" si="33"/>
        <v>0.82</v>
      </c>
      <c r="AW40" s="11">
        <f t="shared" si="33"/>
        <v>0.83</v>
      </c>
      <c r="AX40" s="11">
        <f t="shared" si="33"/>
        <v>0.84</v>
      </c>
      <c r="AY40" s="11">
        <f t="shared" si="33"/>
        <v>0.84999999999999987</v>
      </c>
      <c r="AZ40" s="11">
        <f t="shared" si="33"/>
        <v>0.85999999999999988</v>
      </c>
      <c r="BA40" s="11">
        <f t="shared" si="33"/>
        <v>0.86999999999999988</v>
      </c>
      <c r="BB40" s="11">
        <f t="shared" si="33"/>
        <v>0.87999999999999989</v>
      </c>
      <c r="BC40" s="11">
        <f t="shared" si="33"/>
        <v>0.8899999999999999</v>
      </c>
      <c r="BD40" s="11">
        <f t="shared" si="33"/>
        <v>0.89999999999999991</v>
      </c>
      <c r="BE40" s="41"/>
      <c r="BF40" s="41"/>
      <c r="BG40" s="11">
        <f t="shared" si="34"/>
        <v>0.80999999999999994</v>
      </c>
      <c r="BH40" s="11">
        <f t="shared" si="34"/>
        <v>0.82</v>
      </c>
      <c r="BI40" s="11">
        <f t="shared" si="34"/>
        <v>0.83</v>
      </c>
      <c r="BJ40" s="11">
        <f t="shared" si="34"/>
        <v>0.84</v>
      </c>
      <c r="BK40" s="11">
        <f t="shared" si="34"/>
        <v>0.84999999999999987</v>
      </c>
      <c r="BL40" s="11">
        <f t="shared" si="34"/>
        <v>0.85999999999999988</v>
      </c>
      <c r="BM40" s="11">
        <f t="shared" si="34"/>
        <v>0.86999999999999988</v>
      </c>
      <c r="BN40" s="11">
        <f t="shared" si="34"/>
        <v>0.87999999999999989</v>
      </c>
      <c r="BO40" s="11">
        <f t="shared" si="34"/>
        <v>0.8899999999999999</v>
      </c>
      <c r="BP40" s="11">
        <f t="shared" si="34"/>
        <v>0.89999999999999991</v>
      </c>
      <c r="BQ40" s="41"/>
      <c r="BR40" s="41"/>
      <c r="BS40" s="11">
        <f t="shared" si="35"/>
        <v>0.80999999999999994</v>
      </c>
      <c r="BT40" s="11">
        <f t="shared" si="35"/>
        <v>0.82</v>
      </c>
      <c r="BU40" s="11">
        <f t="shared" si="35"/>
        <v>0.83</v>
      </c>
      <c r="BV40" s="11">
        <f t="shared" si="35"/>
        <v>0.84</v>
      </c>
      <c r="BW40" s="11">
        <f t="shared" si="35"/>
        <v>0.84999999999999987</v>
      </c>
      <c r="BX40" s="11">
        <f t="shared" si="35"/>
        <v>0.85999999999999988</v>
      </c>
      <c r="BY40" s="11">
        <f t="shared" si="35"/>
        <v>0.86999999999999988</v>
      </c>
      <c r="BZ40" s="11">
        <f t="shared" si="35"/>
        <v>0.87999999999999989</v>
      </c>
      <c r="CA40" s="11">
        <f t="shared" si="35"/>
        <v>0.8899999999999999</v>
      </c>
      <c r="CB40" s="11">
        <f t="shared" si="35"/>
        <v>0.89999999999999991</v>
      </c>
      <c r="CC40" s="41"/>
    </row>
    <row r="41" spans="10:81" ht="8.4499999999999993" customHeight="1">
      <c r="J41" s="9"/>
      <c r="K41" s="11">
        <f t="shared" si="3"/>
        <v>0.71</v>
      </c>
      <c r="L41" s="11">
        <f t="shared" si="4"/>
        <v>0.72</v>
      </c>
      <c r="M41" s="11">
        <f t="shared" si="5"/>
        <v>0.73</v>
      </c>
      <c r="N41" s="11">
        <f t="shared" si="6"/>
        <v>0.74</v>
      </c>
      <c r="O41" s="11">
        <f t="shared" si="7"/>
        <v>0.74999999999999989</v>
      </c>
      <c r="P41" s="11">
        <f t="shared" si="8"/>
        <v>0.7599999999999999</v>
      </c>
      <c r="Q41" s="11">
        <f t="shared" si="9"/>
        <v>0.76999999999999991</v>
      </c>
      <c r="R41" s="11">
        <f t="shared" si="10"/>
        <v>0.77999999999999992</v>
      </c>
      <c r="S41" s="11">
        <f t="shared" si="11"/>
        <v>0.78999999999999992</v>
      </c>
      <c r="T41" s="11">
        <f t="shared" si="12"/>
        <v>0.79999999999999993</v>
      </c>
      <c r="U41" s="9"/>
      <c r="V41" s="9"/>
      <c r="W41" s="11">
        <f t="shared" si="13"/>
        <v>0.71</v>
      </c>
      <c r="X41" s="11">
        <f t="shared" si="14"/>
        <v>0.72</v>
      </c>
      <c r="Y41" s="11">
        <f t="shared" si="15"/>
        <v>0.73</v>
      </c>
      <c r="Z41" s="11">
        <f t="shared" si="16"/>
        <v>0.74</v>
      </c>
      <c r="AA41" s="11">
        <f t="shared" si="17"/>
        <v>0.74999999999999989</v>
      </c>
      <c r="AB41" s="11">
        <f t="shared" si="18"/>
        <v>0.7599999999999999</v>
      </c>
      <c r="AC41" s="11">
        <f t="shared" si="19"/>
        <v>0.76999999999999991</v>
      </c>
      <c r="AD41" s="11">
        <f t="shared" si="20"/>
        <v>0.77999999999999992</v>
      </c>
      <c r="AE41" s="11">
        <f t="shared" si="21"/>
        <v>0.78999999999999992</v>
      </c>
      <c r="AF41" s="11">
        <f t="shared" si="22"/>
        <v>0.79999999999999993</v>
      </c>
      <c r="AG41" s="9"/>
      <c r="AH41" s="9"/>
      <c r="AI41" s="11">
        <f t="shared" si="23"/>
        <v>0.71</v>
      </c>
      <c r="AJ41" s="11">
        <f t="shared" si="24"/>
        <v>0.72</v>
      </c>
      <c r="AK41" s="11">
        <f t="shared" si="25"/>
        <v>0.73</v>
      </c>
      <c r="AL41" s="11">
        <f t="shared" si="26"/>
        <v>0.74</v>
      </c>
      <c r="AM41" s="11">
        <f t="shared" si="27"/>
        <v>0.74999999999999989</v>
      </c>
      <c r="AN41" s="11">
        <f t="shared" si="28"/>
        <v>0.7599999999999999</v>
      </c>
      <c r="AO41" s="11">
        <f t="shared" si="29"/>
        <v>0.76999999999999991</v>
      </c>
      <c r="AP41" s="11">
        <f t="shared" si="30"/>
        <v>0.77999999999999992</v>
      </c>
      <c r="AQ41" s="11">
        <f t="shared" si="31"/>
        <v>0.78999999999999992</v>
      </c>
      <c r="AR41" s="11">
        <f t="shared" si="32"/>
        <v>0.79999999999999993</v>
      </c>
      <c r="AS41" s="9"/>
      <c r="AT41" s="41"/>
      <c r="AU41" s="11">
        <f t="shared" si="33"/>
        <v>0.71</v>
      </c>
      <c r="AV41" s="11">
        <f t="shared" si="33"/>
        <v>0.72</v>
      </c>
      <c r="AW41" s="11">
        <f t="shared" si="33"/>
        <v>0.73</v>
      </c>
      <c r="AX41" s="11">
        <f t="shared" si="33"/>
        <v>0.74</v>
      </c>
      <c r="AY41" s="11">
        <f t="shared" si="33"/>
        <v>0.74999999999999989</v>
      </c>
      <c r="AZ41" s="11">
        <f t="shared" si="33"/>
        <v>0.7599999999999999</v>
      </c>
      <c r="BA41" s="11">
        <f t="shared" si="33"/>
        <v>0.76999999999999991</v>
      </c>
      <c r="BB41" s="11">
        <f t="shared" si="33"/>
        <v>0.77999999999999992</v>
      </c>
      <c r="BC41" s="11">
        <f t="shared" si="33"/>
        <v>0.78999999999999992</v>
      </c>
      <c r="BD41" s="11">
        <f t="shared" si="33"/>
        <v>0.79999999999999993</v>
      </c>
      <c r="BE41" s="41"/>
      <c r="BF41" s="41"/>
      <c r="BG41" s="11">
        <f t="shared" si="34"/>
        <v>0.71</v>
      </c>
      <c r="BH41" s="11">
        <f t="shared" si="34"/>
        <v>0.72</v>
      </c>
      <c r="BI41" s="11">
        <f t="shared" si="34"/>
        <v>0.73</v>
      </c>
      <c r="BJ41" s="11">
        <f t="shared" si="34"/>
        <v>0.74</v>
      </c>
      <c r="BK41" s="11">
        <f t="shared" si="34"/>
        <v>0.74999999999999989</v>
      </c>
      <c r="BL41" s="11">
        <f t="shared" si="34"/>
        <v>0.7599999999999999</v>
      </c>
      <c r="BM41" s="11">
        <f t="shared" si="34"/>
        <v>0.76999999999999991</v>
      </c>
      <c r="BN41" s="11">
        <f t="shared" si="34"/>
        <v>0.77999999999999992</v>
      </c>
      <c r="BO41" s="11">
        <f t="shared" si="34"/>
        <v>0.78999999999999992</v>
      </c>
      <c r="BP41" s="11">
        <f t="shared" si="34"/>
        <v>0.79999999999999993</v>
      </c>
      <c r="BQ41" s="41"/>
      <c r="BR41" s="41"/>
      <c r="BS41" s="11">
        <f t="shared" si="35"/>
        <v>0.71</v>
      </c>
      <c r="BT41" s="11">
        <f t="shared" si="35"/>
        <v>0.72</v>
      </c>
      <c r="BU41" s="11">
        <f t="shared" si="35"/>
        <v>0.73</v>
      </c>
      <c r="BV41" s="11">
        <f t="shared" si="35"/>
        <v>0.74</v>
      </c>
      <c r="BW41" s="11">
        <f t="shared" si="35"/>
        <v>0.74999999999999989</v>
      </c>
      <c r="BX41" s="11">
        <f t="shared" si="35"/>
        <v>0.7599999999999999</v>
      </c>
      <c r="BY41" s="11">
        <f t="shared" si="35"/>
        <v>0.76999999999999991</v>
      </c>
      <c r="BZ41" s="11">
        <f t="shared" si="35"/>
        <v>0.77999999999999992</v>
      </c>
      <c r="CA41" s="11">
        <f t="shared" si="35"/>
        <v>0.78999999999999992</v>
      </c>
      <c r="CB41" s="11">
        <f t="shared" si="35"/>
        <v>0.79999999999999993</v>
      </c>
      <c r="CC41" s="41"/>
    </row>
    <row r="42" spans="10:81" ht="8.4499999999999993" customHeight="1">
      <c r="J42" s="9"/>
      <c r="K42" s="11">
        <f t="shared" si="3"/>
        <v>0.61</v>
      </c>
      <c r="L42" s="11">
        <f t="shared" si="4"/>
        <v>0.62</v>
      </c>
      <c r="M42" s="11">
        <f t="shared" si="5"/>
        <v>0.63</v>
      </c>
      <c r="N42" s="11">
        <f t="shared" si="6"/>
        <v>0.64</v>
      </c>
      <c r="O42" s="11">
        <f t="shared" si="7"/>
        <v>0.64999999999999991</v>
      </c>
      <c r="P42" s="11">
        <f t="shared" si="8"/>
        <v>0.65999999999999992</v>
      </c>
      <c r="Q42" s="11">
        <f t="shared" si="9"/>
        <v>0.66999999999999993</v>
      </c>
      <c r="R42" s="11">
        <f t="shared" si="10"/>
        <v>0.67999999999999994</v>
      </c>
      <c r="S42" s="11">
        <f t="shared" si="11"/>
        <v>0.69</v>
      </c>
      <c r="T42" s="11">
        <f t="shared" si="12"/>
        <v>0.7</v>
      </c>
      <c r="U42" s="9"/>
      <c r="V42" s="9"/>
      <c r="W42" s="11">
        <f t="shared" si="13"/>
        <v>0.61</v>
      </c>
      <c r="X42" s="11">
        <f t="shared" si="14"/>
        <v>0.62</v>
      </c>
      <c r="Y42" s="11">
        <f t="shared" si="15"/>
        <v>0.63</v>
      </c>
      <c r="Z42" s="11">
        <f t="shared" si="16"/>
        <v>0.64</v>
      </c>
      <c r="AA42" s="11">
        <f t="shared" si="17"/>
        <v>0.64999999999999991</v>
      </c>
      <c r="AB42" s="11">
        <f t="shared" si="18"/>
        <v>0.65999999999999992</v>
      </c>
      <c r="AC42" s="11">
        <f t="shared" si="19"/>
        <v>0.66999999999999993</v>
      </c>
      <c r="AD42" s="11">
        <f t="shared" si="20"/>
        <v>0.67999999999999994</v>
      </c>
      <c r="AE42" s="11">
        <f t="shared" si="21"/>
        <v>0.69</v>
      </c>
      <c r="AF42" s="11">
        <f t="shared" si="22"/>
        <v>0.7</v>
      </c>
      <c r="AG42" s="9"/>
      <c r="AH42" s="9"/>
      <c r="AI42" s="11">
        <f t="shared" si="23"/>
        <v>0.61</v>
      </c>
      <c r="AJ42" s="11">
        <f t="shared" si="24"/>
        <v>0.62</v>
      </c>
      <c r="AK42" s="11">
        <f t="shared" si="25"/>
        <v>0.63</v>
      </c>
      <c r="AL42" s="11">
        <f t="shared" si="26"/>
        <v>0.64</v>
      </c>
      <c r="AM42" s="11">
        <f t="shared" si="27"/>
        <v>0.64999999999999991</v>
      </c>
      <c r="AN42" s="11">
        <f t="shared" si="28"/>
        <v>0.65999999999999992</v>
      </c>
      <c r="AO42" s="11">
        <f t="shared" si="29"/>
        <v>0.66999999999999993</v>
      </c>
      <c r="AP42" s="11">
        <f t="shared" si="30"/>
        <v>0.67999999999999994</v>
      </c>
      <c r="AQ42" s="11">
        <f t="shared" si="31"/>
        <v>0.69</v>
      </c>
      <c r="AR42" s="11">
        <f t="shared" si="32"/>
        <v>0.7</v>
      </c>
      <c r="AS42" s="9"/>
      <c r="AT42" s="41"/>
      <c r="AU42" s="11">
        <f t="shared" si="33"/>
        <v>0.61</v>
      </c>
      <c r="AV42" s="11">
        <f t="shared" si="33"/>
        <v>0.62</v>
      </c>
      <c r="AW42" s="11">
        <f t="shared" si="33"/>
        <v>0.63</v>
      </c>
      <c r="AX42" s="11">
        <f t="shared" si="33"/>
        <v>0.64</v>
      </c>
      <c r="AY42" s="11">
        <f t="shared" si="33"/>
        <v>0.64999999999999991</v>
      </c>
      <c r="AZ42" s="11">
        <f t="shared" si="33"/>
        <v>0.65999999999999992</v>
      </c>
      <c r="BA42" s="11">
        <f t="shared" si="33"/>
        <v>0.66999999999999993</v>
      </c>
      <c r="BB42" s="11">
        <f t="shared" si="33"/>
        <v>0.67999999999999994</v>
      </c>
      <c r="BC42" s="11">
        <f t="shared" si="33"/>
        <v>0.69</v>
      </c>
      <c r="BD42" s="11">
        <f t="shared" si="33"/>
        <v>0.7</v>
      </c>
      <c r="BE42" s="41"/>
      <c r="BF42" s="41"/>
      <c r="BG42" s="11">
        <f t="shared" si="34"/>
        <v>0.61</v>
      </c>
      <c r="BH42" s="11">
        <f t="shared" si="34"/>
        <v>0.62</v>
      </c>
      <c r="BI42" s="11">
        <f t="shared" si="34"/>
        <v>0.63</v>
      </c>
      <c r="BJ42" s="11">
        <f t="shared" si="34"/>
        <v>0.64</v>
      </c>
      <c r="BK42" s="11">
        <f t="shared" si="34"/>
        <v>0.64999999999999991</v>
      </c>
      <c r="BL42" s="11">
        <f t="shared" si="34"/>
        <v>0.65999999999999992</v>
      </c>
      <c r="BM42" s="11">
        <f t="shared" si="34"/>
        <v>0.66999999999999993</v>
      </c>
      <c r="BN42" s="11">
        <f t="shared" si="34"/>
        <v>0.67999999999999994</v>
      </c>
      <c r="BO42" s="11">
        <f t="shared" si="34"/>
        <v>0.69</v>
      </c>
      <c r="BP42" s="11">
        <f t="shared" si="34"/>
        <v>0.7</v>
      </c>
      <c r="BQ42" s="41"/>
      <c r="BR42" s="41"/>
      <c r="BS42" s="11">
        <f t="shared" si="35"/>
        <v>0.61</v>
      </c>
      <c r="BT42" s="11">
        <f t="shared" si="35"/>
        <v>0.62</v>
      </c>
      <c r="BU42" s="11">
        <f t="shared" si="35"/>
        <v>0.63</v>
      </c>
      <c r="BV42" s="11">
        <f t="shared" si="35"/>
        <v>0.64</v>
      </c>
      <c r="BW42" s="11">
        <f t="shared" si="35"/>
        <v>0.64999999999999991</v>
      </c>
      <c r="BX42" s="11">
        <f t="shared" si="35"/>
        <v>0.65999999999999992</v>
      </c>
      <c r="BY42" s="11">
        <f t="shared" si="35"/>
        <v>0.66999999999999993</v>
      </c>
      <c r="BZ42" s="11">
        <f t="shared" si="35"/>
        <v>0.67999999999999994</v>
      </c>
      <c r="CA42" s="11">
        <f t="shared" si="35"/>
        <v>0.69</v>
      </c>
      <c r="CB42" s="11">
        <f t="shared" si="35"/>
        <v>0.7</v>
      </c>
      <c r="CC42" s="41"/>
    </row>
    <row r="43" spans="10:81" ht="8.4499999999999993" customHeight="1">
      <c r="J43" s="9"/>
      <c r="K43" s="11">
        <f t="shared" si="3"/>
        <v>0.51</v>
      </c>
      <c r="L43" s="11">
        <f t="shared" si="4"/>
        <v>0.52</v>
      </c>
      <c r="M43" s="11">
        <f t="shared" si="5"/>
        <v>0.53</v>
      </c>
      <c r="N43" s="11">
        <f t="shared" si="6"/>
        <v>0.54</v>
      </c>
      <c r="O43" s="11">
        <f t="shared" si="7"/>
        <v>0.54999999999999993</v>
      </c>
      <c r="P43" s="11">
        <f t="shared" si="8"/>
        <v>0.55999999999999994</v>
      </c>
      <c r="Q43" s="11">
        <f t="shared" si="9"/>
        <v>0.56999999999999995</v>
      </c>
      <c r="R43" s="11">
        <f t="shared" si="10"/>
        <v>0.57999999999999996</v>
      </c>
      <c r="S43" s="11">
        <f t="shared" si="11"/>
        <v>0.59</v>
      </c>
      <c r="T43" s="11">
        <f t="shared" si="12"/>
        <v>0.6</v>
      </c>
      <c r="U43" s="9"/>
      <c r="V43" s="9"/>
      <c r="W43" s="11">
        <f t="shared" si="13"/>
        <v>0.51</v>
      </c>
      <c r="X43" s="11">
        <f t="shared" si="14"/>
        <v>0.52</v>
      </c>
      <c r="Y43" s="11">
        <f t="shared" si="15"/>
        <v>0.53</v>
      </c>
      <c r="Z43" s="11">
        <f t="shared" si="16"/>
        <v>0.54</v>
      </c>
      <c r="AA43" s="11">
        <f t="shared" si="17"/>
        <v>0.54999999999999993</v>
      </c>
      <c r="AB43" s="11">
        <f t="shared" si="18"/>
        <v>0.55999999999999994</v>
      </c>
      <c r="AC43" s="11">
        <f t="shared" si="19"/>
        <v>0.56999999999999995</v>
      </c>
      <c r="AD43" s="11">
        <f t="shared" si="20"/>
        <v>0.57999999999999996</v>
      </c>
      <c r="AE43" s="11">
        <f t="shared" si="21"/>
        <v>0.59</v>
      </c>
      <c r="AF43" s="11">
        <f t="shared" si="22"/>
        <v>0.6</v>
      </c>
      <c r="AG43" s="9"/>
      <c r="AH43" s="9"/>
      <c r="AI43" s="11">
        <f t="shared" si="23"/>
        <v>0.51</v>
      </c>
      <c r="AJ43" s="11">
        <f t="shared" si="24"/>
        <v>0.52</v>
      </c>
      <c r="AK43" s="11">
        <f t="shared" si="25"/>
        <v>0.53</v>
      </c>
      <c r="AL43" s="11">
        <f t="shared" si="26"/>
        <v>0.54</v>
      </c>
      <c r="AM43" s="11">
        <f t="shared" si="27"/>
        <v>0.54999999999999993</v>
      </c>
      <c r="AN43" s="11">
        <f t="shared" si="28"/>
        <v>0.55999999999999994</v>
      </c>
      <c r="AO43" s="11">
        <f t="shared" si="29"/>
        <v>0.56999999999999995</v>
      </c>
      <c r="AP43" s="11">
        <f t="shared" si="30"/>
        <v>0.57999999999999996</v>
      </c>
      <c r="AQ43" s="11">
        <f t="shared" si="31"/>
        <v>0.59</v>
      </c>
      <c r="AR43" s="11">
        <f t="shared" si="32"/>
        <v>0.6</v>
      </c>
      <c r="AS43" s="9"/>
      <c r="AT43" s="41"/>
      <c r="AU43" s="11">
        <f t="shared" si="33"/>
        <v>0.51</v>
      </c>
      <c r="AV43" s="11">
        <f t="shared" si="33"/>
        <v>0.52</v>
      </c>
      <c r="AW43" s="11">
        <f t="shared" si="33"/>
        <v>0.53</v>
      </c>
      <c r="AX43" s="11">
        <f t="shared" si="33"/>
        <v>0.54</v>
      </c>
      <c r="AY43" s="11">
        <f t="shared" si="33"/>
        <v>0.54999999999999993</v>
      </c>
      <c r="AZ43" s="11">
        <f t="shared" si="33"/>
        <v>0.55999999999999994</v>
      </c>
      <c r="BA43" s="11">
        <f t="shared" si="33"/>
        <v>0.56999999999999995</v>
      </c>
      <c r="BB43" s="11">
        <f t="shared" si="33"/>
        <v>0.57999999999999996</v>
      </c>
      <c r="BC43" s="11">
        <f t="shared" si="33"/>
        <v>0.59</v>
      </c>
      <c r="BD43" s="11">
        <f t="shared" si="33"/>
        <v>0.6</v>
      </c>
      <c r="BE43" s="41"/>
      <c r="BF43" s="41"/>
      <c r="BG43" s="11">
        <f t="shared" si="34"/>
        <v>0.51</v>
      </c>
      <c r="BH43" s="11">
        <f t="shared" si="34"/>
        <v>0.52</v>
      </c>
      <c r="BI43" s="11">
        <f t="shared" si="34"/>
        <v>0.53</v>
      </c>
      <c r="BJ43" s="11">
        <f t="shared" si="34"/>
        <v>0.54</v>
      </c>
      <c r="BK43" s="11">
        <f t="shared" si="34"/>
        <v>0.54999999999999993</v>
      </c>
      <c r="BL43" s="11">
        <f t="shared" si="34"/>
        <v>0.55999999999999994</v>
      </c>
      <c r="BM43" s="11">
        <f t="shared" si="34"/>
        <v>0.56999999999999995</v>
      </c>
      <c r="BN43" s="11">
        <f t="shared" si="34"/>
        <v>0.57999999999999996</v>
      </c>
      <c r="BO43" s="11">
        <f t="shared" si="34"/>
        <v>0.59</v>
      </c>
      <c r="BP43" s="11">
        <f t="shared" si="34"/>
        <v>0.6</v>
      </c>
      <c r="BQ43" s="41"/>
      <c r="BR43" s="41"/>
      <c r="BS43" s="11">
        <f t="shared" si="35"/>
        <v>0.51</v>
      </c>
      <c r="BT43" s="11">
        <f t="shared" si="35"/>
        <v>0.52</v>
      </c>
      <c r="BU43" s="11">
        <f t="shared" si="35"/>
        <v>0.53</v>
      </c>
      <c r="BV43" s="11">
        <f t="shared" si="35"/>
        <v>0.54</v>
      </c>
      <c r="BW43" s="11">
        <f t="shared" si="35"/>
        <v>0.54999999999999993</v>
      </c>
      <c r="BX43" s="11">
        <f t="shared" si="35"/>
        <v>0.55999999999999994</v>
      </c>
      <c r="BY43" s="11">
        <f t="shared" si="35"/>
        <v>0.56999999999999995</v>
      </c>
      <c r="BZ43" s="11">
        <f t="shared" si="35"/>
        <v>0.57999999999999996</v>
      </c>
      <c r="CA43" s="11">
        <f t="shared" si="35"/>
        <v>0.59</v>
      </c>
      <c r="CB43" s="11">
        <f t="shared" si="35"/>
        <v>0.6</v>
      </c>
      <c r="CC43" s="41"/>
    </row>
    <row r="44" spans="10:81" ht="8.4499999999999993" customHeight="1">
      <c r="J44" s="9"/>
      <c r="K44" s="11">
        <f t="shared" si="3"/>
        <v>0.41000000000000003</v>
      </c>
      <c r="L44" s="11">
        <f t="shared" si="4"/>
        <v>0.42000000000000004</v>
      </c>
      <c r="M44" s="11">
        <f t="shared" si="5"/>
        <v>0.43000000000000005</v>
      </c>
      <c r="N44" s="11">
        <f t="shared" si="6"/>
        <v>0.44000000000000006</v>
      </c>
      <c r="O44" s="11">
        <f t="shared" si="7"/>
        <v>0.44999999999999996</v>
      </c>
      <c r="P44" s="11">
        <f t="shared" si="8"/>
        <v>0.45999999999999996</v>
      </c>
      <c r="Q44" s="11">
        <f t="shared" si="9"/>
        <v>0.47</v>
      </c>
      <c r="R44" s="11">
        <f t="shared" si="10"/>
        <v>0.48</v>
      </c>
      <c r="S44" s="11">
        <f t="shared" si="11"/>
        <v>0.49</v>
      </c>
      <c r="T44" s="11">
        <f t="shared" si="12"/>
        <v>0.5</v>
      </c>
      <c r="U44" s="9"/>
      <c r="V44" s="9"/>
      <c r="W44" s="11">
        <f t="shared" si="13"/>
        <v>0.41000000000000003</v>
      </c>
      <c r="X44" s="11">
        <f t="shared" si="14"/>
        <v>0.42000000000000004</v>
      </c>
      <c r="Y44" s="11">
        <f t="shared" si="15"/>
        <v>0.43000000000000005</v>
      </c>
      <c r="Z44" s="11">
        <f t="shared" si="16"/>
        <v>0.44000000000000006</v>
      </c>
      <c r="AA44" s="11">
        <f t="shared" si="17"/>
        <v>0.44999999999999996</v>
      </c>
      <c r="AB44" s="11">
        <f t="shared" si="18"/>
        <v>0.45999999999999996</v>
      </c>
      <c r="AC44" s="11">
        <f t="shared" si="19"/>
        <v>0.47</v>
      </c>
      <c r="AD44" s="11">
        <f t="shared" si="20"/>
        <v>0.48</v>
      </c>
      <c r="AE44" s="11">
        <f t="shared" si="21"/>
        <v>0.49</v>
      </c>
      <c r="AF44" s="11">
        <f t="shared" si="22"/>
        <v>0.5</v>
      </c>
      <c r="AG44" s="9"/>
      <c r="AH44" s="9"/>
      <c r="AI44" s="11">
        <f t="shared" si="23"/>
        <v>0.41000000000000003</v>
      </c>
      <c r="AJ44" s="11">
        <f t="shared" si="24"/>
        <v>0.42000000000000004</v>
      </c>
      <c r="AK44" s="11">
        <f t="shared" si="25"/>
        <v>0.43000000000000005</v>
      </c>
      <c r="AL44" s="11">
        <f t="shared" si="26"/>
        <v>0.44000000000000006</v>
      </c>
      <c r="AM44" s="11">
        <f t="shared" si="27"/>
        <v>0.44999999999999996</v>
      </c>
      <c r="AN44" s="11">
        <f t="shared" si="28"/>
        <v>0.45999999999999996</v>
      </c>
      <c r="AO44" s="11">
        <f t="shared" si="29"/>
        <v>0.47</v>
      </c>
      <c r="AP44" s="11">
        <f t="shared" si="30"/>
        <v>0.48</v>
      </c>
      <c r="AQ44" s="11">
        <f t="shared" si="31"/>
        <v>0.49</v>
      </c>
      <c r="AR44" s="11">
        <f t="shared" si="32"/>
        <v>0.5</v>
      </c>
      <c r="AS44" s="9"/>
      <c r="AT44" s="41"/>
      <c r="AU44" s="11">
        <f t="shared" si="33"/>
        <v>0.41000000000000003</v>
      </c>
      <c r="AV44" s="11">
        <f t="shared" si="33"/>
        <v>0.42000000000000004</v>
      </c>
      <c r="AW44" s="11">
        <f t="shared" si="33"/>
        <v>0.43000000000000005</v>
      </c>
      <c r="AX44" s="11">
        <f t="shared" si="33"/>
        <v>0.44000000000000006</v>
      </c>
      <c r="AY44" s="11">
        <f t="shared" si="33"/>
        <v>0.44999999999999996</v>
      </c>
      <c r="AZ44" s="11">
        <f t="shared" si="33"/>
        <v>0.45999999999999996</v>
      </c>
      <c r="BA44" s="11">
        <f t="shared" si="33"/>
        <v>0.47</v>
      </c>
      <c r="BB44" s="11">
        <f t="shared" si="33"/>
        <v>0.48</v>
      </c>
      <c r="BC44" s="11">
        <f t="shared" si="33"/>
        <v>0.49</v>
      </c>
      <c r="BD44" s="11">
        <f t="shared" si="33"/>
        <v>0.5</v>
      </c>
      <c r="BE44" s="41"/>
      <c r="BF44" s="41"/>
      <c r="BG44" s="11">
        <f t="shared" si="34"/>
        <v>0.41000000000000003</v>
      </c>
      <c r="BH44" s="11">
        <f t="shared" si="34"/>
        <v>0.42000000000000004</v>
      </c>
      <c r="BI44" s="11">
        <f t="shared" si="34"/>
        <v>0.43000000000000005</v>
      </c>
      <c r="BJ44" s="11">
        <f t="shared" si="34"/>
        <v>0.44000000000000006</v>
      </c>
      <c r="BK44" s="11">
        <f t="shared" si="34"/>
        <v>0.44999999999999996</v>
      </c>
      <c r="BL44" s="11">
        <f t="shared" si="34"/>
        <v>0.45999999999999996</v>
      </c>
      <c r="BM44" s="11">
        <f t="shared" si="34"/>
        <v>0.47</v>
      </c>
      <c r="BN44" s="11">
        <f t="shared" si="34"/>
        <v>0.48</v>
      </c>
      <c r="BO44" s="11">
        <f t="shared" si="34"/>
        <v>0.49</v>
      </c>
      <c r="BP44" s="11">
        <f t="shared" si="34"/>
        <v>0.5</v>
      </c>
      <c r="BQ44" s="41"/>
      <c r="BR44" s="41"/>
      <c r="BS44" s="11">
        <f t="shared" si="35"/>
        <v>0.41000000000000003</v>
      </c>
      <c r="BT44" s="11">
        <f t="shared" si="35"/>
        <v>0.42000000000000004</v>
      </c>
      <c r="BU44" s="11">
        <f t="shared" si="35"/>
        <v>0.43000000000000005</v>
      </c>
      <c r="BV44" s="11">
        <f t="shared" si="35"/>
        <v>0.44000000000000006</v>
      </c>
      <c r="BW44" s="11">
        <f t="shared" si="35"/>
        <v>0.44999999999999996</v>
      </c>
      <c r="BX44" s="11">
        <f t="shared" si="35"/>
        <v>0.45999999999999996</v>
      </c>
      <c r="BY44" s="11">
        <f t="shared" si="35"/>
        <v>0.47</v>
      </c>
      <c r="BZ44" s="11">
        <f t="shared" si="35"/>
        <v>0.48</v>
      </c>
      <c r="CA44" s="11">
        <f t="shared" si="35"/>
        <v>0.49</v>
      </c>
      <c r="CB44" s="11">
        <f t="shared" si="35"/>
        <v>0.5</v>
      </c>
      <c r="CC44" s="41"/>
    </row>
    <row r="45" spans="10:81" ht="8.4499999999999993" customHeight="1">
      <c r="J45" s="9"/>
      <c r="K45" s="11">
        <f t="shared" si="3"/>
        <v>0.31000000000000005</v>
      </c>
      <c r="L45" s="11">
        <f t="shared" si="4"/>
        <v>0.32000000000000006</v>
      </c>
      <c r="M45" s="11">
        <f t="shared" si="5"/>
        <v>0.33</v>
      </c>
      <c r="N45" s="11">
        <f t="shared" si="6"/>
        <v>0.34</v>
      </c>
      <c r="O45" s="11">
        <f t="shared" si="7"/>
        <v>0.35</v>
      </c>
      <c r="P45" s="11">
        <f t="shared" si="8"/>
        <v>0.36</v>
      </c>
      <c r="Q45" s="11">
        <f t="shared" si="9"/>
        <v>0.37</v>
      </c>
      <c r="R45" s="11">
        <f t="shared" si="10"/>
        <v>0.38</v>
      </c>
      <c r="S45" s="11">
        <f t="shared" si="11"/>
        <v>0.39</v>
      </c>
      <c r="T45" s="11">
        <f t="shared" si="12"/>
        <v>0.4</v>
      </c>
      <c r="U45" s="9"/>
      <c r="V45" s="9"/>
      <c r="W45" s="11">
        <f t="shared" si="13"/>
        <v>0.31000000000000005</v>
      </c>
      <c r="X45" s="11">
        <f t="shared" si="14"/>
        <v>0.32000000000000006</v>
      </c>
      <c r="Y45" s="11">
        <f t="shared" si="15"/>
        <v>0.33</v>
      </c>
      <c r="Z45" s="11">
        <f t="shared" si="16"/>
        <v>0.34</v>
      </c>
      <c r="AA45" s="11">
        <f t="shared" si="17"/>
        <v>0.35</v>
      </c>
      <c r="AB45" s="11">
        <f t="shared" si="18"/>
        <v>0.36</v>
      </c>
      <c r="AC45" s="11">
        <f t="shared" si="19"/>
        <v>0.37</v>
      </c>
      <c r="AD45" s="11">
        <f t="shared" si="20"/>
        <v>0.38</v>
      </c>
      <c r="AE45" s="11">
        <f t="shared" si="21"/>
        <v>0.39</v>
      </c>
      <c r="AF45" s="11">
        <f t="shared" si="22"/>
        <v>0.4</v>
      </c>
      <c r="AG45" s="9"/>
      <c r="AH45" s="9"/>
      <c r="AI45" s="11">
        <f t="shared" si="23"/>
        <v>0.31000000000000005</v>
      </c>
      <c r="AJ45" s="11">
        <f t="shared" si="24"/>
        <v>0.32000000000000006</v>
      </c>
      <c r="AK45" s="11">
        <f t="shared" si="25"/>
        <v>0.33</v>
      </c>
      <c r="AL45" s="11">
        <f t="shared" si="26"/>
        <v>0.34</v>
      </c>
      <c r="AM45" s="11">
        <f t="shared" si="27"/>
        <v>0.35</v>
      </c>
      <c r="AN45" s="11">
        <f t="shared" si="28"/>
        <v>0.36</v>
      </c>
      <c r="AO45" s="11">
        <f t="shared" si="29"/>
        <v>0.37</v>
      </c>
      <c r="AP45" s="11">
        <f t="shared" si="30"/>
        <v>0.38</v>
      </c>
      <c r="AQ45" s="11">
        <f t="shared" si="31"/>
        <v>0.39</v>
      </c>
      <c r="AR45" s="11">
        <f t="shared" si="32"/>
        <v>0.4</v>
      </c>
      <c r="AS45" s="9"/>
      <c r="AT45" s="41"/>
      <c r="AU45" s="11">
        <f t="shared" si="33"/>
        <v>0.31000000000000005</v>
      </c>
      <c r="AV45" s="11">
        <f t="shared" si="33"/>
        <v>0.32000000000000006</v>
      </c>
      <c r="AW45" s="11">
        <f t="shared" si="33"/>
        <v>0.33</v>
      </c>
      <c r="AX45" s="11">
        <f t="shared" si="33"/>
        <v>0.34</v>
      </c>
      <c r="AY45" s="11">
        <f t="shared" si="33"/>
        <v>0.35</v>
      </c>
      <c r="AZ45" s="11">
        <f t="shared" si="33"/>
        <v>0.36</v>
      </c>
      <c r="BA45" s="11">
        <f t="shared" si="33"/>
        <v>0.37</v>
      </c>
      <c r="BB45" s="11">
        <f t="shared" si="33"/>
        <v>0.38</v>
      </c>
      <c r="BC45" s="11">
        <f t="shared" si="33"/>
        <v>0.39</v>
      </c>
      <c r="BD45" s="11">
        <f t="shared" si="33"/>
        <v>0.4</v>
      </c>
      <c r="BE45" s="41"/>
      <c r="BF45" s="41"/>
      <c r="BG45" s="11">
        <f t="shared" si="34"/>
        <v>0.31000000000000005</v>
      </c>
      <c r="BH45" s="11">
        <f t="shared" si="34"/>
        <v>0.32000000000000006</v>
      </c>
      <c r="BI45" s="11">
        <f t="shared" si="34"/>
        <v>0.33</v>
      </c>
      <c r="BJ45" s="11">
        <f t="shared" si="34"/>
        <v>0.34</v>
      </c>
      <c r="BK45" s="11">
        <f t="shared" si="34"/>
        <v>0.35</v>
      </c>
      <c r="BL45" s="11">
        <f t="shared" si="34"/>
        <v>0.36</v>
      </c>
      <c r="BM45" s="11">
        <f t="shared" si="34"/>
        <v>0.37</v>
      </c>
      <c r="BN45" s="11">
        <f t="shared" si="34"/>
        <v>0.38</v>
      </c>
      <c r="BO45" s="11">
        <f t="shared" si="34"/>
        <v>0.39</v>
      </c>
      <c r="BP45" s="11">
        <f t="shared" si="34"/>
        <v>0.4</v>
      </c>
      <c r="BQ45" s="41"/>
      <c r="BR45" s="41"/>
      <c r="BS45" s="11">
        <f t="shared" si="35"/>
        <v>0.31000000000000005</v>
      </c>
      <c r="BT45" s="11">
        <f t="shared" si="35"/>
        <v>0.32000000000000006</v>
      </c>
      <c r="BU45" s="11">
        <f t="shared" si="35"/>
        <v>0.33</v>
      </c>
      <c r="BV45" s="11">
        <f t="shared" si="35"/>
        <v>0.34</v>
      </c>
      <c r="BW45" s="11">
        <f t="shared" si="35"/>
        <v>0.35</v>
      </c>
      <c r="BX45" s="11">
        <f t="shared" si="35"/>
        <v>0.36</v>
      </c>
      <c r="BY45" s="11">
        <f t="shared" si="35"/>
        <v>0.37</v>
      </c>
      <c r="BZ45" s="11">
        <f t="shared" si="35"/>
        <v>0.38</v>
      </c>
      <c r="CA45" s="11">
        <f t="shared" si="35"/>
        <v>0.39</v>
      </c>
      <c r="CB45" s="11">
        <f t="shared" si="35"/>
        <v>0.4</v>
      </c>
      <c r="CC45" s="41"/>
    </row>
    <row r="46" spans="10:81" ht="8.4499999999999993" customHeight="1">
      <c r="J46" s="9"/>
      <c r="K46" s="11">
        <f t="shared" si="3"/>
        <v>0.21000000000000002</v>
      </c>
      <c r="L46" s="11">
        <f t="shared" si="4"/>
        <v>0.22000000000000003</v>
      </c>
      <c r="M46" s="11">
        <f t="shared" si="5"/>
        <v>0.23</v>
      </c>
      <c r="N46" s="11">
        <f t="shared" si="6"/>
        <v>0.24000000000000002</v>
      </c>
      <c r="O46" s="11">
        <f t="shared" si="7"/>
        <v>0.25</v>
      </c>
      <c r="P46" s="11">
        <f t="shared" si="8"/>
        <v>0.26</v>
      </c>
      <c r="Q46" s="11">
        <f t="shared" si="9"/>
        <v>0.27</v>
      </c>
      <c r="R46" s="11">
        <f t="shared" si="10"/>
        <v>0.28000000000000003</v>
      </c>
      <c r="S46" s="11">
        <f t="shared" si="11"/>
        <v>0.29000000000000004</v>
      </c>
      <c r="T46" s="11">
        <f t="shared" si="12"/>
        <v>0.30000000000000004</v>
      </c>
      <c r="U46" s="9"/>
      <c r="V46" s="9"/>
      <c r="W46" s="11">
        <f t="shared" si="13"/>
        <v>0.21000000000000002</v>
      </c>
      <c r="X46" s="11">
        <f t="shared" si="14"/>
        <v>0.22000000000000003</v>
      </c>
      <c r="Y46" s="11">
        <f t="shared" si="15"/>
        <v>0.23</v>
      </c>
      <c r="Z46" s="11">
        <f t="shared" si="16"/>
        <v>0.24000000000000002</v>
      </c>
      <c r="AA46" s="11">
        <f t="shared" si="17"/>
        <v>0.25</v>
      </c>
      <c r="AB46" s="11">
        <f t="shared" si="18"/>
        <v>0.26</v>
      </c>
      <c r="AC46" s="11">
        <f t="shared" si="19"/>
        <v>0.27</v>
      </c>
      <c r="AD46" s="11">
        <f t="shared" si="20"/>
        <v>0.28000000000000003</v>
      </c>
      <c r="AE46" s="11">
        <f t="shared" si="21"/>
        <v>0.29000000000000004</v>
      </c>
      <c r="AF46" s="11">
        <f t="shared" si="22"/>
        <v>0.30000000000000004</v>
      </c>
      <c r="AG46" s="9"/>
      <c r="AH46" s="9"/>
      <c r="AI46" s="11">
        <f t="shared" si="23"/>
        <v>0.21000000000000002</v>
      </c>
      <c r="AJ46" s="11">
        <f t="shared" si="24"/>
        <v>0.22000000000000003</v>
      </c>
      <c r="AK46" s="11">
        <f t="shared" si="25"/>
        <v>0.23</v>
      </c>
      <c r="AL46" s="11">
        <f t="shared" si="26"/>
        <v>0.24000000000000002</v>
      </c>
      <c r="AM46" s="11">
        <f t="shared" si="27"/>
        <v>0.25</v>
      </c>
      <c r="AN46" s="11">
        <f t="shared" si="28"/>
        <v>0.26</v>
      </c>
      <c r="AO46" s="11">
        <f t="shared" si="29"/>
        <v>0.27</v>
      </c>
      <c r="AP46" s="11">
        <f t="shared" si="30"/>
        <v>0.28000000000000003</v>
      </c>
      <c r="AQ46" s="11">
        <f t="shared" si="31"/>
        <v>0.29000000000000004</v>
      </c>
      <c r="AR46" s="11">
        <f t="shared" si="32"/>
        <v>0.30000000000000004</v>
      </c>
      <c r="AS46" s="9"/>
      <c r="AT46" s="41"/>
      <c r="AU46" s="11">
        <f t="shared" si="33"/>
        <v>0.21000000000000002</v>
      </c>
      <c r="AV46" s="11">
        <f t="shared" si="33"/>
        <v>0.22000000000000003</v>
      </c>
      <c r="AW46" s="11">
        <f t="shared" si="33"/>
        <v>0.23</v>
      </c>
      <c r="AX46" s="11">
        <f t="shared" si="33"/>
        <v>0.24000000000000002</v>
      </c>
      <c r="AY46" s="11">
        <f t="shared" si="33"/>
        <v>0.25</v>
      </c>
      <c r="AZ46" s="11">
        <f t="shared" si="33"/>
        <v>0.26</v>
      </c>
      <c r="BA46" s="11">
        <f t="shared" si="33"/>
        <v>0.27</v>
      </c>
      <c r="BB46" s="11">
        <f t="shared" si="33"/>
        <v>0.28000000000000003</v>
      </c>
      <c r="BC46" s="11">
        <f t="shared" si="33"/>
        <v>0.29000000000000004</v>
      </c>
      <c r="BD46" s="11">
        <f t="shared" si="33"/>
        <v>0.30000000000000004</v>
      </c>
      <c r="BE46" s="41"/>
      <c r="BF46" s="41"/>
      <c r="BG46" s="11">
        <f t="shared" si="34"/>
        <v>0.21000000000000002</v>
      </c>
      <c r="BH46" s="11">
        <f t="shared" si="34"/>
        <v>0.22000000000000003</v>
      </c>
      <c r="BI46" s="11">
        <f t="shared" si="34"/>
        <v>0.23</v>
      </c>
      <c r="BJ46" s="11">
        <f t="shared" si="34"/>
        <v>0.24000000000000002</v>
      </c>
      <c r="BK46" s="11">
        <f t="shared" si="34"/>
        <v>0.25</v>
      </c>
      <c r="BL46" s="11">
        <f t="shared" si="34"/>
        <v>0.26</v>
      </c>
      <c r="BM46" s="11">
        <f t="shared" si="34"/>
        <v>0.27</v>
      </c>
      <c r="BN46" s="11">
        <f t="shared" si="34"/>
        <v>0.28000000000000003</v>
      </c>
      <c r="BO46" s="11">
        <f t="shared" si="34"/>
        <v>0.29000000000000004</v>
      </c>
      <c r="BP46" s="11">
        <f t="shared" si="34"/>
        <v>0.30000000000000004</v>
      </c>
      <c r="BQ46" s="41"/>
      <c r="BR46" s="41"/>
      <c r="BS46" s="11">
        <f t="shared" si="35"/>
        <v>0.21000000000000002</v>
      </c>
      <c r="BT46" s="11">
        <f t="shared" si="35"/>
        <v>0.22000000000000003</v>
      </c>
      <c r="BU46" s="11">
        <f t="shared" si="35"/>
        <v>0.23</v>
      </c>
      <c r="BV46" s="11">
        <f t="shared" si="35"/>
        <v>0.24000000000000002</v>
      </c>
      <c r="BW46" s="11">
        <f t="shared" si="35"/>
        <v>0.25</v>
      </c>
      <c r="BX46" s="11">
        <f t="shared" si="35"/>
        <v>0.26</v>
      </c>
      <c r="BY46" s="11">
        <f t="shared" si="35"/>
        <v>0.27</v>
      </c>
      <c r="BZ46" s="11">
        <f t="shared" si="35"/>
        <v>0.28000000000000003</v>
      </c>
      <c r="CA46" s="11">
        <f t="shared" si="35"/>
        <v>0.29000000000000004</v>
      </c>
      <c r="CB46" s="11">
        <f t="shared" si="35"/>
        <v>0.30000000000000004</v>
      </c>
      <c r="CC46" s="41"/>
    </row>
    <row r="47" spans="10:81" ht="8.4499999999999993" customHeight="1">
      <c r="J47" s="9"/>
      <c r="K47" s="11">
        <f>K48+0.1</f>
        <v>0.11</v>
      </c>
      <c r="L47" s="11">
        <f t="shared" ref="L47:T47" si="36">L48+0.1</f>
        <v>0.12000000000000001</v>
      </c>
      <c r="M47" s="11">
        <f t="shared" si="36"/>
        <v>0.13</v>
      </c>
      <c r="N47" s="11">
        <f t="shared" si="36"/>
        <v>0.14000000000000001</v>
      </c>
      <c r="O47" s="11">
        <f t="shared" si="36"/>
        <v>0.15000000000000002</v>
      </c>
      <c r="P47" s="11">
        <f t="shared" si="36"/>
        <v>0.16</v>
      </c>
      <c r="Q47" s="11">
        <f t="shared" si="36"/>
        <v>0.17</v>
      </c>
      <c r="R47" s="11">
        <f t="shared" si="36"/>
        <v>0.18</v>
      </c>
      <c r="S47" s="11">
        <f t="shared" si="36"/>
        <v>0.19</v>
      </c>
      <c r="T47" s="11">
        <f t="shared" si="36"/>
        <v>0.2</v>
      </c>
      <c r="U47" s="9"/>
      <c r="V47" s="9"/>
      <c r="W47" s="11">
        <f>W48+0.1</f>
        <v>0.11</v>
      </c>
      <c r="X47" s="11">
        <f t="shared" si="14"/>
        <v>0.12000000000000001</v>
      </c>
      <c r="Y47" s="11">
        <f t="shared" si="15"/>
        <v>0.13</v>
      </c>
      <c r="Z47" s="11">
        <f t="shared" si="16"/>
        <v>0.14000000000000001</v>
      </c>
      <c r="AA47" s="11">
        <f t="shared" si="17"/>
        <v>0.15000000000000002</v>
      </c>
      <c r="AB47" s="11">
        <f t="shared" si="18"/>
        <v>0.16</v>
      </c>
      <c r="AC47" s="11">
        <f t="shared" si="19"/>
        <v>0.17</v>
      </c>
      <c r="AD47" s="11">
        <f t="shared" si="20"/>
        <v>0.18</v>
      </c>
      <c r="AE47" s="11">
        <f t="shared" si="21"/>
        <v>0.19</v>
      </c>
      <c r="AF47" s="11">
        <f t="shared" si="22"/>
        <v>0.2</v>
      </c>
      <c r="AG47" s="9"/>
      <c r="AH47" s="9"/>
      <c r="AI47" s="11">
        <f>AI48+0.1</f>
        <v>0.11</v>
      </c>
      <c r="AJ47" s="11">
        <f t="shared" si="24"/>
        <v>0.12000000000000001</v>
      </c>
      <c r="AK47" s="11">
        <f t="shared" si="25"/>
        <v>0.13</v>
      </c>
      <c r="AL47" s="11">
        <f t="shared" si="26"/>
        <v>0.14000000000000001</v>
      </c>
      <c r="AM47" s="11">
        <f t="shared" si="27"/>
        <v>0.15000000000000002</v>
      </c>
      <c r="AN47" s="11">
        <f t="shared" si="28"/>
        <v>0.16</v>
      </c>
      <c r="AO47" s="11">
        <f t="shared" si="29"/>
        <v>0.17</v>
      </c>
      <c r="AP47" s="11">
        <f t="shared" si="30"/>
        <v>0.18</v>
      </c>
      <c r="AQ47" s="11">
        <f t="shared" si="31"/>
        <v>0.19</v>
      </c>
      <c r="AR47" s="11">
        <f t="shared" si="32"/>
        <v>0.2</v>
      </c>
      <c r="AS47" s="9"/>
      <c r="AT47" s="41"/>
      <c r="AU47" s="11">
        <f>AU48+0.1</f>
        <v>0.11</v>
      </c>
      <c r="AV47" s="11">
        <f t="shared" si="33"/>
        <v>0.12000000000000001</v>
      </c>
      <c r="AW47" s="11">
        <f t="shared" si="33"/>
        <v>0.13</v>
      </c>
      <c r="AX47" s="11">
        <f t="shared" si="33"/>
        <v>0.14000000000000001</v>
      </c>
      <c r="AY47" s="11">
        <f t="shared" si="33"/>
        <v>0.15000000000000002</v>
      </c>
      <c r="AZ47" s="11">
        <f t="shared" si="33"/>
        <v>0.16</v>
      </c>
      <c r="BA47" s="11">
        <f t="shared" si="33"/>
        <v>0.17</v>
      </c>
      <c r="BB47" s="11">
        <f t="shared" si="33"/>
        <v>0.18</v>
      </c>
      <c r="BC47" s="11">
        <f t="shared" si="33"/>
        <v>0.19</v>
      </c>
      <c r="BD47" s="11">
        <f t="shared" si="33"/>
        <v>0.2</v>
      </c>
      <c r="BE47" s="41"/>
      <c r="BF47" s="41"/>
      <c r="BG47" s="11">
        <f>BG48+0.1</f>
        <v>0.11</v>
      </c>
      <c r="BH47" s="11">
        <f t="shared" si="34"/>
        <v>0.12000000000000001</v>
      </c>
      <c r="BI47" s="11">
        <f t="shared" si="34"/>
        <v>0.13</v>
      </c>
      <c r="BJ47" s="11">
        <f t="shared" si="34"/>
        <v>0.14000000000000001</v>
      </c>
      <c r="BK47" s="11">
        <f t="shared" si="34"/>
        <v>0.15000000000000002</v>
      </c>
      <c r="BL47" s="11">
        <f t="shared" si="34"/>
        <v>0.16</v>
      </c>
      <c r="BM47" s="11">
        <f t="shared" si="34"/>
        <v>0.17</v>
      </c>
      <c r="BN47" s="11">
        <f t="shared" si="34"/>
        <v>0.18</v>
      </c>
      <c r="BO47" s="11">
        <f t="shared" si="34"/>
        <v>0.19</v>
      </c>
      <c r="BP47" s="11">
        <f t="shared" si="34"/>
        <v>0.2</v>
      </c>
      <c r="BQ47" s="41"/>
      <c r="BR47" s="41"/>
      <c r="BS47" s="11">
        <f>BS48+0.1</f>
        <v>0.11</v>
      </c>
      <c r="BT47" s="11">
        <f t="shared" si="35"/>
        <v>0.12000000000000001</v>
      </c>
      <c r="BU47" s="11">
        <f t="shared" si="35"/>
        <v>0.13</v>
      </c>
      <c r="BV47" s="11">
        <f t="shared" si="35"/>
        <v>0.14000000000000001</v>
      </c>
      <c r="BW47" s="11">
        <f t="shared" si="35"/>
        <v>0.15000000000000002</v>
      </c>
      <c r="BX47" s="11">
        <f t="shared" si="35"/>
        <v>0.16</v>
      </c>
      <c r="BY47" s="11">
        <f t="shared" si="35"/>
        <v>0.17</v>
      </c>
      <c r="BZ47" s="11">
        <f t="shared" si="35"/>
        <v>0.18</v>
      </c>
      <c r="CA47" s="11">
        <f t="shared" si="35"/>
        <v>0.19</v>
      </c>
      <c r="CB47" s="11">
        <f t="shared" si="35"/>
        <v>0.2</v>
      </c>
      <c r="CC47" s="41"/>
    </row>
    <row r="48" spans="10:81" ht="8.4499999999999993" customHeight="1">
      <c r="J48" s="9"/>
      <c r="K48" s="11">
        <f>0.01</f>
        <v>0.01</v>
      </c>
      <c r="L48" s="11">
        <f>K48+0.01</f>
        <v>0.02</v>
      </c>
      <c r="M48" s="11">
        <f t="shared" ref="M48:T48" si="37">L48+0.01</f>
        <v>0.03</v>
      </c>
      <c r="N48" s="11">
        <f t="shared" si="37"/>
        <v>0.04</v>
      </c>
      <c r="O48" s="11">
        <f t="shared" si="37"/>
        <v>0.05</v>
      </c>
      <c r="P48" s="11">
        <f t="shared" si="37"/>
        <v>6.0000000000000005E-2</v>
      </c>
      <c r="Q48" s="11">
        <f t="shared" si="37"/>
        <v>7.0000000000000007E-2</v>
      </c>
      <c r="R48" s="11">
        <f t="shared" si="37"/>
        <v>0.08</v>
      </c>
      <c r="S48" s="11">
        <f t="shared" si="37"/>
        <v>0.09</v>
      </c>
      <c r="T48" s="11">
        <f t="shared" si="37"/>
        <v>9.9999999999999992E-2</v>
      </c>
      <c r="U48" s="9"/>
      <c r="V48" s="9"/>
      <c r="W48" s="11">
        <f>0.01</f>
        <v>0.01</v>
      </c>
      <c r="X48" s="11">
        <f>W48+0.01</f>
        <v>0.02</v>
      </c>
      <c r="Y48" s="11">
        <f t="shared" ref="Y48:AF48" si="38">X48+0.01</f>
        <v>0.03</v>
      </c>
      <c r="Z48" s="11">
        <f t="shared" si="38"/>
        <v>0.04</v>
      </c>
      <c r="AA48" s="11">
        <f t="shared" si="38"/>
        <v>0.05</v>
      </c>
      <c r="AB48" s="11">
        <f t="shared" si="38"/>
        <v>6.0000000000000005E-2</v>
      </c>
      <c r="AC48" s="11">
        <f t="shared" si="38"/>
        <v>7.0000000000000007E-2</v>
      </c>
      <c r="AD48" s="11">
        <f t="shared" si="38"/>
        <v>0.08</v>
      </c>
      <c r="AE48" s="11">
        <f t="shared" si="38"/>
        <v>0.09</v>
      </c>
      <c r="AF48" s="11">
        <f t="shared" si="38"/>
        <v>9.9999999999999992E-2</v>
      </c>
      <c r="AG48" s="9"/>
      <c r="AH48" s="9"/>
      <c r="AI48" s="11">
        <f>0.01</f>
        <v>0.01</v>
      </c>
      <c r="AJ48" s="11">
        <f>AI48+0.01</f>
        <v>0.02</v>
      </c>
      <c r="AK48" s="11">
        <f t="shared" ref="AK48:AR48" si="39">AJ48+0.01</f>
        <v>0.03</v>
      </c>
      <c r="AL48" s="11">
        <f t="shared" si="39"/>
        <v>0.04</v>
      </c>
      <c r="AM48" s="11">
        <f t="shared" si="39"/>
        <v>0.05</v>
      </c>
      <c r="AN48" s="11">
        <f t="shared" si="39"/>
        <v>6.0000000000000005E-2</v>
      </c>
      <c r="AO48" s="11">
        <f t="shared" si="39"/>
        <v>7.0000000000000007E-2</v>
      </c>
      <c r="AP48" s="11">
        <f t="shared" si="39"/>
        <v>0.08</v>
      </c>
      <c r="AQ48" s="11">
        <f t="shared" si="39"/>
        <v>0.09</v>
      </c>
      <c r="AR48" s="11">
        <f t="shared" si="39"/>
        <v>9.9999999999999992E-2</v>
      </c>
      <c r="AS48" s="9"/>
      <c r="AT48" s="41"/>
      <c r="AU48" s="11">
        <f>0.01</f>
        <v>0.01</v>
      </c>
      <c r="AV48" s="11">
        <f>AU48+0.01</f>
        <v>0.02</v>
      </c>
      <c r="AW48" s="11">
        <f t="shared" ref="AW48" si="40">AV48+0.01</f>
        <v>0.03</v>
      </c>
      <c r="AX48" s="11">
        <f t="shared" ref="AX48" si="41">AW48+0.01</f>
        <v>0.04</v>
      </c>
      <c r="AY48" s="11">
        <f t="shared" ref="AY48" si="42">AX48+0.01</f>
        <v>0.05</v>
      </c>
      <c r="AZ48" s="11">
        <f t="shared" ref="AZ48" si="43">AY48+0.01</f>
        <v>6.0000000000000005E-2</v>
      </c>
      <c r="BA48" s="11">
        <f t="shared" ref="BA48" si="44">AZ48+0.01</f>
        <v>7.0000000000000007E-2</v>
      </c>
      <c r="BB48" s="11">
        <f t="shared" ref="BB48" si="45">BA48+0.01</f>
        <v>0.08</v>
      </c>
      <c r="BC48" s="11">
        <f t="shared" ref="BC48" si="46">BB48+0.01</f>
        <v>0.09</v>
      </c>
      <c r="BD48" s="11">
        <f t="shared" ref="BD48" si="47">BC48+0.01</f>
        <v>9.9999999999999992E-2</v>
      </c>
      <c r="BE48" s="41"/>
      <c r="BF48" s="41"/>
      <c r="BG48" s="11">
        <f>0.01</f>
        <v>0.01</v>
      </c>
      <c r="BH48" s="11">
        <f>BG48+0.01</f>
        <v>0.02</v>
      </c>
      <c r="BI48" s="11">
        <f t="shared" ref="BI48" si="48">BH48+0.01</f>
        <v>0.03</v>
      </c>
      <c r="BJ48" s="11">
        <f t="shared" ref="BJ48" si="49">BI48+0.01</f>
        <v>0.04</v>
      </c>
      <c r="BK48" s="11">
        <f t="shared" ref="BK48" si="50">BJ48+0.01</f>
        <v>0.05</v>
      </c>
      <c r="BL48" s="11">
        <f t="shared" ref="BL48" si="51">BK48+0.01</f>
        <v>6.0000000000000005E-2</v>
      </c>
      <c r="BM48" s="11">
        <f t="shared" ref="BM48" si="52">BL48+0.01</f>
        <v>7.0000000000000007E-2</v>
      </c>
      <c r="BN48" s="11">
        <f t="shared" ref="BN48" si="53">BM48+0.01</f>
        <v>0.08</v>
      </c>
      <c r="BO48" s="11">
        <f t="shared" ref="BO48" si="54">BN48+0.01</f>
        <v>0.09</v>
      </c>
      <c r="BP48" s="11">
        <f t="shared" ref="BP48" si="55">BO48+0.01</f>
        <v>9.9999999999999992E-2</v>
      </c>
      <c r="BQ48" s="41"/>
      <c r="BR48" s="41"/>
      <c r="BS48" s="11">
        <f>0.01</f>
        <v>0.01</v>
      </c>
      <c r="BT48" s="11">
        <f>BS48+0.01</f>
        <v>0.02</v>
      </c>
      <c r="BU48" s="11">
        <f t="shared" ref="BU48" si="56">BT48+0.01</f>
        <v>0.03</v>
      </c>
      <c r="BV48" s="11">
        <f t="shared" ref="BV48" si="57">BU48+0.01</f>
        <v>0.04</v>
      </c>
      <c r="BW48" s="11">
        <f t="shared" ref="BW48" si="58">BV48+0.01</f>
        <v>0.05</v>
      </c>
      <c r="BX48" s="11">
        <f t="shared" ref="BX48" si="59">BW48+0.01</f>
        <v>6.0000000000000005E-2</v>
      </c>
      <c r="BY48" s="11">
        <f t="shared" ref="BY48" si="60">BX48+0.01</f>
        <v>7.0000000000000007E-2</v>
      </c>
      <c r="BZ48" s="11">
        <f t="shared" ref="BZ48" si="61">BY48+0.01</f>
        <v>0.08</v>
      </c>
      <c r="CA48" s="11">
        <f t="shared" ref="CA48" si="62">BZ48+0.01</f>
        <v>0.09</v>
      </c>
      <c r="CB48" s="11">
        <f t="shared" ref="CB48" si="63">CA48+0.01</f>
        <v>9.9999999999999992E-2</v>
      </c>
      <c r="CC48" s="41"/>
    </row>
    <row r="49" spans="10:81" ht="8.25" customHeight="1"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41"/>
      <c r="AU49" s="182" t="s">
        <v>62</v>
      </c>
      <c r="AV49" s="175">
        <f>C23</f>
        <v>450000</v>
      </c>
      <c r="AW49" s="175"/>
      <c r="AX49" s="175"/>
      <c r="AY49" s="175"/>
      <c r="AZ49" s="196" t="s">
        <v>58</v>
      </c>
      <c r="BA49" s="196"/>
      <c r="BB49" s="196"/>
      <c r="BC49" s="196"/>
      <c r="BD49" s="196"/>
      <c r="BE49" s="41"/>
      <c r="BF49" s="41"/>
      <c r="BG49" s="182" t="s">
        <v>62</v>
      </c>
      <c r="BH49" s="188">
        <f>C24</f>
        <v>950000</v>
      </c>
      <c r="BI49" s="188"/>
      <c r="BJ49" s="188"/>
      <c r="BK49" s="188"/>
      <c r="BL49" s="184" t="s">
        <v>60</v>
      </c>
      <c r="BM49" s="184"/>
      <c r="BN49" s="184"/>
      <c r="BO49" s="184"/>
      <c r="BP49" s="184"/>
      <c r="BQ49" s="41"/>
      <c r="BR49" s="41"/>
      <c r="BS49" s="182" t="s">
        <v>62</v>
      </c>
      <c r="BT49" s="188">
        <f>C25</f>
        <v>138000</v>
      </c>
      <c r="BU49" s="188"/>
      <c r="BV49" s="188"/>
      <c r="BW49" s="188"/>
      <c r="BX49" s="184" t="s">
        <v>60</v>
      </c>
      <c r="BY49" s="184"/>
      <c r="BZ49" s="184"/>
      <c r="CA49" s="184"/>
      <c r="CB49" s="184"/>
      <c r="CC49" s="41"/>
    </row>
    <row r="50" spans="10:81" ht="8.25" customHeight="1"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41"/>
      <c r="AU50" s="183"/>
      <c r="AV50" s="176"/>
      <c r="AW50" s="176"/>
      <c r="AX50" s="176"/>
      <c r="AY50" s="176"/>
      <c r="AZ50" s="196"/>
      <c r="BA50" s="196"/>
      <c r="BB50" s="196"/>
      <c r="BC50" s="196"/>
      <c r="BD50" s="196"/>
      <c r="BE50" s="41"/>
      <c r="BF50" s="41"/>
      <c r="BG50" s="183"/>
      <c r="BH50" s="186"/>
      <c r="BI50" s="186"/>
      <c r="BJ50" s="186"/>
      <c r="BK50" s="186"/>
      <c r="BL50" s="185"/>
      <c r="BM50" s="185"/>
      <c r="BN50" s="185"/>
      <c r="BO50" s="185"/>
      <c r="BP50" s="185"/>
      <c r="BQ50" s="41"/>
      <c r="BR50" s="41"/>
      <c r="BS50" s="183"/>
      <c r="BT50" s="186"/>
      <c r="BU50" s="186"/>
      <c r="BV50" s="186"/>
      <c r="BW50" s="186"/>
      <c r="BX50" s="185"/>
      <c r="BY50" s="185"/>
      <c r="BZ50" s="185"/>
      <c r="CA50" s="185"/>
      <c r="CB50" s="185"/>
      <c r="CC50" s="41"/>
    </row>
    <row r="51" spans="10:81" ht="3.75" customHeight="1"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41"/>
      <c r="AU51" s="193" t="s">
        <v>62</v>
      </c>
      <c r="AV51" s="195">
        <f>D23</f>
        <v>350000</v>
      </c>
      <c r="AW51" s="195"/>
      <c r="AX51" s="195"/>
      <c r="AY51" s="195"/>
      <c r="AZ51" s="185" t="s">
        <v>59</v>
      </c>
      <c r="BA51" s="185"/>
      <c r="BB51" s="185"/>
      <c r="BC51" s="185"/>
      <c r="BD51" s="185"/>
      <c r="BE51" s="41"/>
      <c r="BF51" s="41"/>
      <c r="BG51" s="193" t="s">
        <v>62</v>
      </c>
      <c r="BH51" s="186">
        <f>D24</f>
        <v>807815</v>
      </c>
      <c r="BI51" s="186"/>
      <c r="BJ51" s="186"/>
      <c r="BK51" s="186"/>
      <c r="BL51" s="185" t="s">
        <v>61</v>
      </c>
      <c r="BM51" s="185"/>
      <c r="BN51" s="185"/>
      <c r="BO51" s="185"/>
      <c r="BP51" s="185"/>
      <c r="BQ51" s="41"/>
      <c r="BR51" s="41"/>
      <c r="BS51" s="193" t="s">
        <v>62</v>
      </c>
      <c r="BT51" s="186">
        <f>D25</f>
        <v>162000</v>
      </c>
      <c r="BU51" s="186"/>
      <c r="BV51" s="186"/>
      <c r="BW51" s="186"/>
      <c r="BX51" s="185" t="s">
        <v>61</v>
      </c>
      <c r="BY51" s="185"/>
      <c r="BZ51" s="185"/>
      <c r="CA51" s="185"/>
      <c r="CB51" s="185"/>
      <c r="CC51" s="41"/>
    </row>
    <row r="52" spans="10:81" ht="8.25" customHeight="1"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41"/>
      <c r="AU52" s="194"/>
      <c r="AV52" s="195"/>
      <c r="AW52" s="195"/>
      <c r="AX52" s="195"/>
      <c r="AY52" s="195"/>
      <c r="AZ52" s="185"/>
      <c r="BA52" s="185"/>
      <c r="BB52" s="185"/>
      <c r="BC52" s="185"/>
      <c r="BD52" s="185"/>
      <c r="BE52" s="41"/>
      <c r="BF52" s="41"/>
      <c r="BG52" s="194"/>
      <c r="BH52" s="186"/>
      <c r="BI52" s="186"/>
      <c r="BJ52" s="186"/>
      <c r="BK52" s="186"/>
      <c r="BL52" s="185"/>
      <c r="BM52" s="185"/>
      <c r="BN52" s="185"/>
      <c r="BO52" s="185"/>
      <c r="BP52" s="185"/>
      <c r="BQ52" s="41"/>
      <c r="BR52" s="41"/>
      <c r="BS52" s="194"/>
      <c r="BT52" s="186"/>
      <c r="BU52" s="186"/>
      <c r="BV52" s="186"/>
      <c r="BW52" s="186"/>
      <c r="BX52" s="185"/>
      <c r="BY52" s="185"/>
      <c r="BZ52" s="185"/>
      <c r="CA52" s="185"/>
      <c r="CB52" s="185"/>
      <c r="CC52" s="41"/>
    </row>
    <row r="53" spans="10:81" ht="8.25" customHeight="1">
      <c r="J53" s="9"/>
      <c r="K53" s="162" t="str">
        <f>UPPER(A18)</f>
        <v>RETURNEES</v>
      </c>
      <c r="L53" s="162"/>
      <c r="M53" s="162"/>
      <c r="N53" s="162"/>
      <c r="O53" s="162"/>
      <c r="P53" s="162"/>
      <c r="Q53" s="162"/>
      <c r="R53" s="162"/>
      <c r="S53" s="162"/>
      <c r="T53" s="162"/>
      <c r="U53" s="9"/>
      <c r="V53" s="9"/>
      <c r="W53" s="162" t="str">
        <f>UPPER(A19)</f>
        <v>HOST COMMUNITIES</v>
      </c>
      <c r="X53" s="162"/>
      <c r="Y53" s="162"/>
      <c r="Z53" s="162"/>
      <c r="AA53" s="162"/>
      <c r="AB53" s="162"/>
      <c r="AC53" s="162"/>
      <c r="AD53" s="162"/>
      <c r="AE53" s="162"/>
      <c r="AF53" s="162"/>
      <c r="AG53" s="9"/>
      <c r="AH53" s="9"/>
      <c r="AI53" s="162" t="str">
        <f>UPPER(A20)</f>
        <v>LOREM IPSUM</v>
      </c>
      <c r="AJ53" s="162"/>
      <c r="AK53" s="162"/>
      <c r="AL53" s="162"/>
      <c r="AM53" s="162"/>
      <c r="AN53" s="162"/>
      <c r="AO53" s="162"/>
      <c r="AP53" s="162"/>
      <c r="AQ53" s="162"/>
      <c r="AR53" s="162"/>
      <c r="AS53" s="9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</row>
    <row r="54" spans="10:81" ht="23.25" customHeight="1">
      <c r="J54" s="9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9"/>
      <c r="V54" s="9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9"/>
      <c r="AH54" s="9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9"/>
      <c r="AT54" s="41"/>
      <c r="AU54" s="41"/>
      <c r="AV54" s="41"/>
      <c r="AW54" s="41"/>
      <c r="AX54" s="41"/>
      <c r="AY54" s="41"/>
      <c r="AZ54" s="41"/>
      <c r="BA54" s="187" t="str">
        <f>UPPER(D27)</f>
        <v>TOTAL MALE</v>
      </c>
      <c r="BB54" s="187"/>
      <c r="BC54" s="187"/>
      <c r="BD54" s="187"/>
      <c r="BE54" s="187"/>
      <c r="BF54" s="187"/>
      <c r="BG54" s="187"/>
      <c r="BH54" s="187"/>
      <c r="BI54" s="187"/>
      <c r="BJ54" s="187"/>
      <c r="BK54" s="41"/>
      <c r="BL54" s="41"/>
      <c r="BM54" s="187" t="str">
        <f>UPPER(C27)</f>
        <v>TOTAL FEMALE</v>
      </c>
      <c r="BN54" s="187"/>
      <c r="BO54" s="187"/>
      <c r="BP54" s="187"/>
      <c r="BQ54" s="187"/>
      <c r="BR54" s="187"/>
      <c r="BS54" s="187"/>
      <c r="BT54" s="187"/>
      <c r="BU54" s="187"/>
      <c r="BV54" s="187"/>
      <c r="BW54" s="41"/>
      <c r="BX54" s="41"/>
      <c r="BY54" s="41"/>
      <c r="BZ54" s="41"/>
      <c r="CA54" s="41"/>
      <c r="CB54" s="41"/>
      <c r="CC54" s="41"/>
    </row>
    <row r="55" spans="10:81" ht="4.5" customHeight="1"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</row>
    <row r="56" spans="10:81" ht="15.75" customHeight="1">
      <c r="J56" s="161">
        <f>C18</f>
        <v>249855</v>
      </c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0"/>
      <c r="V56" s="161">
        <f>C19</f>
        <v>149622</v>
      </c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0"/>
      <c r="AH56" s="161">
        <f>C20</f>
        <v>99584</v>
      </c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0"/>
      <c r="AT56" s="41"/>
      <c r="AU56" s="41"/>
      <c r="AV56" s="41"/>
      <c r="AW56" s="41"/>
      <c r="AX56" s="41"/>
      <c r="AY56" s="41"/>
      <c r="AZ56" s="171">
        <f>D26</f>
        <v>1319815</v>
      </c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41"/>
      <c r="BL56" s="171">
        <f>C26</f>
        <v>1538000</v>
      </c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41"/>
      <c r="BX56" s="41"/>
      <c r="BY56" s="41"/>
      <c r="BZ56" s="41"/>
      <c r="CA56" s="41"/>
      <c r="CB56" s="41"/>
      <c r="CC56" s="41"/>
    </row>
    <row r="57" spans="10:81" ht="15.75" customHeight="1"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0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0"/>
      <c r="AT57" s="41"/>
      <c r="AU57" s="41"/>
      <c r="AV57" s="41"/>
      <c r="AW57" s="41"/>
      <c r="AX57" s="41"/>
      <c r="AY57" s="4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4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41"/>
      <c r="BX57" s="41"/>
      <c r="BY57" s="41"/>
      <c r="BZ57" s="41"/>
      <c r="CA57" s="41"/>
      <c r="CB57" s="41"/>
      <c r="CC57" s="41"/>
    </row>
    <row r="58" spans="10:81" ht="12" customHeight="1"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</row>
    <row r="59" spans="10:81" ht="8.4499999999999993" customHeight="1">
      <c r="J59" s="9"/>
      <c r="K59" s="11">
        <f t="shared" ref="K59:K66" si="64">K60+0.1</f>
        <v>0.90999999999999992</v>
      </c>
      <c r="L59" s="11">
        <f t="shared" ref="L59:L67" si="65">L60+0.1</f>
        <v>0.91999999999999993</v>
      </c>
      <c r="M59" s="11">
        <f t="shared" ref="M59:M67" si="66">M60+0.1</f>
        <v>0.92999999999999994</v>
      </c>
      <c r="N59" s="11">
        <f t="shared" ref="N59:N67" si="67">N60+0.1</f>
        <v>0.94</v>
      </c>
      <c r="O59" s="11">
        <f t="shared" ref="O59:O67" si="68">O60+0.1</f>
        <v>0.94999999999999984</v>
      </c>
      <c r="P59" s="11">
        <f t="shared" ref="P59:P67" si="69">P60+0.1</f>
        <v>0.95999999999999985</v>
      </c>
      <c r="Q59" s="11">
        <f t="shared" ref="Q59:Q67" si="70">Q60+0.1</f>
        <v>0.96999999999999986</v>
      </c>
      <c r="R59" s="11">
        <f t="shared" ref="R59:R67" si="71">R60+0.1</f>
        <v>0.97999999999999987</v>
      </c>
      <c r="S59" s="11">
        <f t="shared" ref="S59:S67" si="72">S60+0.1</f>
        <v>0.98999999999999988</v>
      </c>
      <c r="T59" s="11">
        <f t="shared" ref="T59:T67" si="73">T60+0.1</f>
        <v>0.99999999999999989</v>
      </c>
      <c r="U59" s="9"/>
      <c r="V59" s="9"/>
      <c r="W59" s="11">
        <f t="shared" ref="W59:W66" si="74">W60+0.1</f>
        <v>0.90999999999999992</v>
      </c>
      <c r="X59" s="11">
        <f t="shared" ref="X59:X67" si="75">X60+0.1</f>
        <v>0.91999999999999993</v>
      </c>
      <c r="Y59" s="11">
        <f t="shared" ref="Y59:Y67" si="76">Y60+0.1</f>
        <v>0.92999999999999994</v>
      </c>
      <c r="Z59" s="11">
        <f t="shared" ref="Z59:Z67" si="77">Z60+0.1</f>
        <v>0.94</v>
      </c>
      <c r="AA59" s="11">
        <f t="shared" ref="AA59:AA67" si="78">AA60+0.1</f>
        <v>0.94999999999999984</v>
      </c>
      <c r="AB59" s="11">
        <f t="shared" ref="AB59:AB67" si="79">AB60+0.1</f>
        <v>0.95999999999999985</v>
      </c>
      <c r="AC59" s="11">
        <f t="shared" ref="AC59:AC67" si="80">AC60+0.1</f>
        <v>0.96999999999999986</v>
      </c>
      <c r="AD59" s="11">
        <f t="shared" ref="AD59:AD67" si="81">AD60+0.1</f>
        <v>0.97999999999999987</v>
      </c>
      <c r="AE59" s="11">
        <f t="shared" ref="AE59:AE67" si="82">AE60+0.1</f>
        <v>0.98999999999999988</v>
      </c>
      <c r="AF59" s="11">
        <f t="shared" ref="AF59:AF67" si="83">AF60+0.1</f>
        <v>0.99999999999999989</v>
      </c>
      <c r="AG59" s="9"/>
      <c r="AH59" s="9"/>
      <c r="AI59" s="11">
        <f t="shared" ref="AI59:AI66" si="84">AI60+0.1</f>
        <v>0.90999999999999992</v>
      </c>
      <c r="AJ59" s="11">
        <f t="shared" ref="AJ59:AJ67" si="85">AJ60+0.1</f>
        <v>0.91999999999999993</v>
      </c>
      <c r="AK59" s="11">
        <f t="shared" ref="AK59:AK67" si="86">AK60+0.1</f>
        <v>0.92999999999999994</v>
      </c>
      <c r="AL59" s="11">
        <f t="shared" ref="AL59:AL67" si="87">AL60+0.1</f>
        <v>0.94</v>
      </c>
      <c r="AM59" s="11">
        <f t="shared" ref="AM59:AM67" si="88">AM60+0.1</f>
        <v>0.94999999999999984</v>
      </c>
      <c r="AN59" s="11">
        <f t="shared" ref="AN59:AN67" si="89">AN60+0.1</f>
        <v>0.95999999999999985</v>
      </c>
      <c r="AO59" s="11">
        <f t="shared" ref="AO59:AO67" si="90">AO60+0.1</f>
        <v>0.96999999999999986</v>
      </c>
      <c r="AP59" s="11">
        <f t="shared" ref="AP59:AP67" si="91">AP60+0.1</f>
        <v>0.97999999999999987</v>
      </c>
      <c r="AQ59" s="11">
        <f t="shared" ref="AQ59:AQ67" si="92">AQ60+0.1</f>
        <v>0.98999999999999988</v>
      </c>
      <c r="AR59" s="11">
        <f t="shared" ref="AR59:AR67" si="93">AR60+0.1</f>
        <v>0.99999999999999989</v>
      </c>
      <c r="AS59" s="9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</row>
    <row r="60" spans="10:81" ht="8.4499999999999993" customHeight="1">
      <c r="J60" s="9"/>
      <c r="K60" s="11">
        <f t="shared" si="64"/>
        <v>0.80999999999999994</v>
      </c>
      <c r="L60" s="11">
        <f t="shared" si="65"/>
        <v>0.82</v>
      </c>
      <c r="M60" s="11">
        <f t="shared" si="66"/>
        <v>0.83</v>
      </c>
      <c r="N60" s="11">
        <f t="shared" si="67"/>
        <v>0.84</v>
      </c>
      <c r="O60" s="11">
        <f t="shared" si="68"/>
        <v>0.84999999999999987</v>
      </c>
      <c r="P60" s="11">
        <f t="shared" si="69"/>
        <v>0.85999999999999988</v>
      </c>
      <c r="Q60" s="11">
        <f t="shared" si="70"/>
        <v>0.86999999999999988</v>
      </c>
      <c r="R60" s="11">
        <f t="shared" si="71"/>
        <v>0.87999999999999989</v>
      </c>
      <c r="S60" s="11">
        <f t="shared" si="72"/>
        <v>0.8899999999999999</v>
      </c>
      <c r="T60" s="11">
        <f t="shared" si="73"/>
        <v>0.89999999999999991</v>
      </c>
      <c r="U60" s="9"/>
      <c r="V60" s="9"/>
      <c r="W60" s="11">
        <f t="shared" si="74"/>
        <v>0.80999999999999994</v>
      </c>
      <c r="X60" s="11">
        <f t="shared" si="75"/>
        <v>0.82</v>
      </c>
      <c r="Y60" s="11">
        <f t="shared" si="76"/>
        <v>0.83</v>
      </c>
      <c r="Z60" s="11">
        <f t="shared" si="77"/>
        <v>0.84</v>
      </c>
      <c r="AA60" s="11">
        <f t="shared" si="78"/>
        <v>0.84999999999999987</v>
      </c>
      <c r="AB60" s="11">
        <f t="shared" si="79"/>
        <v>0.85999999999999988</v>
      </c>
      <c r="AC60" s="11">
        <f t="shared" si="80"/>
        <v>0.86999999999999988</v>
      </c>
      <c r="AD60" s="11">
        <f t="shared" si="81"/>
        <v>0.87999999999999989</v>
      </c>
      <c r="AE60" s="11">
        <f t="shared" si="82"/>
        <v>0.8899999999999999</v>
      </c>
      <c r="AF60" s="11">
        <f t="shared" si="83"/>
        <v>0.89999999999999991</v>
      </c>
      <c r="AG60" s="9"/>
      <c r="AH60" s="9"/>
      <c r="AI60" s="11">
        <f t="shared" si="84"/>
        <v>0.80999999999999994</v>
      </c>
      <c r="AJ60" s="11">
        <f t="shared" si="85"/>
        <v>0.82</v>
      </c>
      <c r="AK60" s="11">
        <f t="shared" si="86"/>
        <v>0.83</v>
      </c>
      <c r="AL60" s="11">
        <f t="shared" si="87"/>
        <v>0.84</v>
      </c>
      <c r="AM60" s="11">
        <f t="shared" si="88"/>
        <v>0.84999999999999987</v>
      </c>
      <c r="AN60" s="11">
        <f t="shared" si="89"/>
        <v>0.85999999999999988</v>
      </c>
      <c r="AO60" s="11">
        <f t="shared" si="90"/>
        <v>0.86999999999999988</v>
      </c>
      <c r="AP60" s="11">
        <f t="shared" si="91"/>
        <v>0.87999999999999989</v>
      </c>
      <c r="AQ60" s="11">
        <f t="shared" si="92"/>
        <v>0.8899999999999999</v>
      </c>
      <c r="AR60" s="11">
        <f t="shared" si="93"/>
        <v>0.89999999999999991</v>
      </c>
      <c r="AS60" s="9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</row>
    <row r="61" spans="10:81" ht="8.4499999999999993" customHeight="1">
      <c r="J61" s="9"/>
      <c r="K61" s="11">
        <f t="shared" si="64"/>
        <v>0.71</v>
      </c>
      <c r="L61" s="11">
        <f t="shared" si="65"/>
        <v>0.72</v>
      </c>
      <c r="M61" s="11">
        <f t="shared" si="66"/>
        <v>0.73</v>
      </c>
      <c r="N61" s="11">
        <f t="shared" si="67"/>
        <v>0.74</v>
      </c>
      <c r="O61" s="11">
        <f t="shared" si="68"/>
        <v>0.74999999999999989</v>
      </c>
      <c r="P61" s="11">
        <f t="shared" si="69"/>
        <v>0.7599999999999999</v>
      </c>
      <c r="Q61" s="11">
        <f t="shared" si="70"/>
        <v>0.76999999999999991</v>
      </c>
      <c r="R61" s="11">
        <f t="shared" si="71"/>
        <v>0.77999999999999992</v>
      </c>
      <c r="S61" s="11">
        <f t="shared" si="72"/>
        <v>0.78999999999999992</v>
      </c>
      <c r="T61" s="11">
        <f t="shared" si="73"/>
        <v>0.79999999999999993</v>
      </c>
      <c r="U61" s="9"/>
      <c r="V61" s="9"/>
      <c r="W61" s="11">
        <f t="shared" si="74"/>
        <v>0.71</v>
      </c>
      <c r="X61" s="11">
        <f t="shared" si="75"/>
        <v>0.72</v>
      </c>
      <c r="Y61" s="11">
        <f t="shared" si="76"/>
        <v>0.73</v>
      </c>
      <c r="Z61" s="11">
        <f t="shared" si="77"/>
        <v>0.74</v>
      </c>
      <c r="AA61" s="11">
        <f t="shared" si="78"/>
        <v>0.74999999999999989</v>
      </c>
      <c r="AB61" s="11">
        <f t="shared" si="79"/>
        <v>0.7599999999999999</v>
      </c>
      <c r="AC61" s="11">
        <f t="shared" si="80"/>
        <v>0.76999999999999991</v>
      </c>
      <c r="AD61" s="11">
        <f t="shared" si="81"/>
        <v>0.77999999999999992</v>
      </c>
      <c r="AE61" s="11">
        <f t="shared" si="82"/>
        <v>0.78999999999999992</v>
      </c>
      <c r="AF61" s="11">
        <f t="shared" si="83"/>
        <v>0.79999999999999993</v>
      </c>
      <c r="AG61" s="9"/>
      <c r="AH61" s="9"/>
      <c r="AI61" s="11">
        <f t="shared" si="84"/>
        <v>0.71</v>
      </c>
      <c r="AJ61" s="11">
        <f t="shared" si="85"/>
        <v>0.72</v>
      </c>
      <c r="AK61" s="11">
        <f t="shared" si="86"/>
        <v>0.73</v>
      </c>
      <c r="AL61" s="11">
        <f t="shared" si="87"/>
        <v>0.74</v>
      </c>
      <c r="AM61" s="11">
        <f t="shared" si="88"/>
        <v>0.74999999999999989</v>
      </c>
      <c r="AN61" s="11">
        <f t="shared" si="89"/>
        <v>0.7599999999999999</v>
      </c>
      <c r="AO61" s="11">
        <f t="shared" si="90"/>
        <v>0.76999999999999991</v>
      </c>
      <c r="AP61" s="11">
        <f t="shared" si="91"/>
        <v>0.77999999999999992</v>
      </c>
      <c r="AQ61" s="11">
        <f t="shared" si="92"/>
        <v>0.78999999999999992</v>
      </c>
      <c r="AR61" s="11">
        <f t="shared" si="93"/>
        <v>0.79999999999999993</v>
      </c>
      <c r="AS61" s="9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</row>
    <row r="62" spans="10:81" ht="8.4499999999999993" customHeight="1">
      <c r="J62" s="9"/>
      <c r="K62" s="11">
        <f t="shared" si="64"/>
        <v>0.61</v>
      </c>
      <c r="L62" s="11">
        <f t="shared" si="65"/>
        <v>0.62</v>
      </c>
      <c r="M62" s="11">
        <f t="shared" si="66"/>
        <v>0.63</v>
      </c>
      <c r="N62" s="11">
        <f t="shared" si="67"/>
        <v>0.64</v>
      </c>
      <c r="O62" s="11">
        <f t="shared" si="68"/>
        <v>0.64999999999999991</v>
      </c>
      <c r="P62" s="11">
        <f t="shared" si="69"/>
        <v>0.65999999999999992</v>
      </c>
      <c r="Q62" s="11">
        <f t="shared" si="70"/>
        <v>0.66999999999999993</v>
      </c>
      <c r="R62" s="11">
        <f t="shared" si="71"/>
        <v>0.67999999999999994</v>
      </c>
      <c r="S62" s="11">
        <f t="shared" si="72"/>
        <v>0.69</v>
      </c>
      <c r="T62" s="11">
        <f t="shared" si="73"/>
        <v>0.7</v>
      </c>
      <c r="U62" s="9"/>
      <c r="V62" s="9"/>
      <c r="W62" s="11">
        <f t="shared" si="74"/>
        <v>0.61</v>
      </c>
      <c r="X62" s="11">
        <f t="shared" si="75"/>
        <v>0.62</v>
      </c>
      <c r="Y62" s="11">
        <f t="shared" si="76"/>
        <v>0.63</v>
      </c>
      <c r="Z62" s="11">
        <f t="shared" si="77"/>
        <v>0.64</v>
      </c>
      <c r="AA62" s="11">
        <f t="shared" si="78"/>
        <v>0.64999999999999991</v>
      </c>
      <c r="AB62" s="11">
        <f t="shared" si="79"/>
        <v>0.65999999999999992</v>
      </c>
      <c r="AC62" s="11">
        <f t="shared" si="80"/>
        <v>0.66999999999999993</v>
      </c>
      <c r="AD62" s="11">
        <f t="shared" si="81"/>
        <v>0.67999999999999994</v>
      </c>
      <c r="AE62" s="11">
        <f t="shared" si="82"/>
        <v>0.69</v>
      </c>
      <c r="AF62" s="11">
        <f t="shared" si="83"/>
        <v>0.7</v>
      </c>
      <c r="AG62" s="9"/>
      <c r="AH62" s="9"/>
      <c r="AI62" s="11">
        <f t="shared" si="84"/>
        <v>0.61</v>
      </c>
      <c r="AJ62" s="11">
        <f t="shared" si="85"/>
        <v>0.62</v>
      </c>
      <c r="AK62" s="11">
        <f t="shared" si="86"/>
        <v>0.63</v>
      </c>
      <c r="AL62" s="11">
        <f t="shared" si="87"/>
        <v>0.64</v>
      </c>
      <c r="AM62" s="11">
        <f t="shared" si="88"/>
        <v>0.64999999999999991</v>
      </c>
      <c r="AN62" s="11">
        <f t="shared" si="89"/>
        <v>0.65999999999999992</v>
      </c>
      <c r="AO62" s="11">
        <f t="shared" si="90"/>
        <v>0.66999999999999993</v>
      </c>
      <c r="AP62" s="11">
        <f t="shared" si="91"/>
        <v>0.67999999999999994</v>
      </c>
      <c r="AQ62" s="11">
        <f t="shared" si="92"/>
        <v>0.69</v>
      </c>
      <c r="AR62" s="11">
        <f t="shared" si="93"/>
        <v>0.7</v>
      </c>
      <c r="AS62" s="9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</row>
    <row r="63" spans="10:81" ht="8.4499999999999993" customHeight="1">
      <c r="J63" s="9"/>
      <c r="K63" s="11">
        <f t="shared" si="64"/>
        <v>0.51</v>
      </c>
      <c r="L63" s="11">
        <f t="shared" si="65"/>
        <v>0.52</v>
      </c>
      <c r="M63" s="11">
        <f t="shared" si="66"/>
        <v>0.53</v>
      </c>
      <c r="N63" s="11">
        <f t="shared" si="67"/>
        <v>0.54</v>
      </c>
      <c r="O63" s="11">
        <f t="shared" si="68"/>
        <v>0.54999999999999993</v>
      </c>
      <c r="P63" s="11">
        <f t="shared" si="69"/>
        <v>0.55999999999999994</v>
      </c>
      <c r="Q63" s="11">
        <f t="shared" si="70"/>
        <v>0.56999999999999995</v>
      </c>
      <c r="R63" s="11">
        <f t="shared" si="71"/>
        <v>0.57999999999999996</v>
      </c>
      <c r="S63" s="11">
        <f t="shared" si="72"/>
        <v>0.59</v>
      </c>
      <c r="T63" s="11">
        <f t="shared" si="73"/>
        <v>0.6</v>
      </c>
      <c r="U63" s="9"/>
      <c r="V63" s="9"/>
      <c r="W63" s="11">
        <f t="shared" si="74"/>
        <v>0.51</v>
      </c>
      <c r="X63" s="11">
        <f t="shared" si="75"/>
        <v>0.52</v>
      </c>
      <c r="Y63" s="11">
        <f t="shared" si="76"/>
        <v>0.53</v>
      </c>
      <c r="Z63" s="11">
        <f t="shared" si="77"/>
        <v>0.54</v>
      </c>
      <c r="AA63" s="11">
        <f t="shared" si="78"/>
        <v>0.54999999999999993</v>
      </c>
      <c r="AB63" s="11">
        <f t="shared" si="79"/>
        <v>0.55999999999999994</v>
      </c>
      <c r="AC63" s="11">
        <f t="shared" si="80"/>
        <v>0.56999999999999995</v>
      </c>
      <c r="AD63" s="11">
        <f t="shared" si="81"/>
        <v>0.57999999999999996</v>
      </c>
      <c r="AE63" s="11">
        <f t="shared" si="82"/>
        <v>0.59</v>
      </c>
      <c r="AF63" s="11">
        <f t="shared" si="83"/>
        <v>0.6</v>
      </c>
      <c r="AG63" s="9"/>
      <c r="AH63" s="9"/>
      <c r="AI63" s="11">
        <f t="shared" si="84"/>
        <v>0.51</v>
      </c>
      <c r="AJ63" s="11">
        <f t="shared" si="85"/>
        <v>0.52</v>
      </c>
      <c r="AK63" s="11">
        <f t="shared" si="86"/>
        <v>0.53</v>
      </c>
      <c r="AL63" s="11">
        <f t="shared" si="87"/>
        <v>0.54</v>
      </c>
      <c r="AM63" s="11">
        <f t="shared" si="88"/>
        <v>0.54999999999999993</v>
      </c>
      <c r="AN63" s="11">
        <f t="shared" si="89"/>
        <v>0.55999999999999994</v>
      </c>
      <c r="AO63" s="11">
        <f t="shared" si="90"/>
        <v>0.56999999999999995</v>
      </c>
      <c r="AP63" s="11">
        <f t="shared" si="91"/>
        <v>0.57999999999999996</v>
      </c>
      <c r="AQ63" s="11">
        <f t="shared" si="92"/>
        <v>0.59</v>
      </c>
      <c r="AR63" s="11">
        <f t="shared" si="93"/>
        <v>0.6</v>
      </c>
      <c r="AS63" s="9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</row>
    <row r="64" spans="10:81" ht="8.4499999999999993" customHeight="1">
      <c r="J64" s="9"/>
      <c r="K64" s="11">
        <f t="shared" si="64"/>
        <v>0.41000000000000003</v>
      </c>
      <c r="L64" s="11">
        <f t="shared" si="65"/>
        <v>0.42000000000000004</v>
      </c>
      <c r="M64" s="11">
        <f t="shared" si="66"/>
        <v>0.43000000000000005</v>
      </c>
      <c r="N64" s="11">
        <f t="shared" si="67"/>
        <v>0.44000000000000006</v>
      </c>
      <c r="O64" s="11">
        <f t="shared" si="68"/>
        <v>0.44999999999999996</v>
      </c>
      <c r="P64" s="11">
        <f t="shared" si="69"/>
        <v>0.45999999999999996</v>
      </c>
      <c r="Q64" s="11">
        <f t="shared" si="70"/>
        <v>0.47</v>
      </c>
      <c r="R64" s="11">
        <f t="shared" si="71"/>
        <v>0.48</v>
      </c>
      <c r="S64" s="11">
        <f t="shared" si="72"/>
        <v>0.49</v>
      </c>
      <c r="T64" s="11">
        <f t="shared" si="73"/>
        <v>0.5</v>
      </c>
      <c r="U64" s="9"/>
      <c r="V64" s="9"/>
      <c r="W64" s="11">
        <f t="shared" si="74"/>
        <v>0.41000000000000003</v>
      </c>
      <c r="X64" s="11">
        <f t="shared" si="75"/>
        <v>0.42000000000000004</v>
      </c>
      <c r="Y64" s="11">
        <f t="shared" si="76"/>
        <v>0.43000000000000005</v>
      </c>
      <c r="Z64" s="11">
        <f t="shared" si="77"/>
        <v>0.44000000000000006</v>
      </c>
      <c r="AA64" s="11">
        <f t="shared" si="78"/>
        <v>0.44999999999999996</v>
      </c>
      <c r="AB64" s="11">
        <f t="shared" si="79"/>
        <v>0.45999999999999996</v>
      </c>
      <c r="AC64" s="11">
        <f t="shared" si="80"/>
        <v>0.47</v>
      </c>
      <c r="AD64" s="11">
        <f t="shared" si="81"/>
        <v>0.48</v>
      </c>
      <c r="AE64" s="11">
        <f t="shared" si="82"/>
        <v>0.49</v>
      </c>
      <c r="AF64" s="11">
        <f t="shared" si="83"/>
        <v>0.5</v>
      </c>
      <c r="AG64" s="9"/>
      <c r="AH64" s="9"/>
      <c r="AI64" s="11">
        <f t="shared" si="84"/>
        <v>0.41000000000000003</v>
      </c>
      <c r="AJ64" s="11">
        <f t="shared" si="85"/>
        <v>0.42000000000000004</v>
      </c>
      <c r="AK64" s="11">
        <f t="shared" si="86"/>
        <v>0.43000000000000005</v>
      </c>
      <c r="AL64" s="11">
        <f t="shared" si="87"/>
        <v>0.44000000000000006</v>
      </c>
      <c r="AM64" s="11">
        <f t="shared" si="88"/>
        <v>0.44999999999999996</v>
      </c>
      <c r="AN64" s="11">
        <f t="shared" si="89"/>
        <v>0.45999999999999996</v>
      </c>
      <c r="AO64" s="11">
        <f t="shared" si="90"/>
        <v>0.47</v>
      </c>
      <c r="AP64" s="11">
        <f t="shared" si="91"/>
        <v>0.48</v>
      </c>
      <c r="AQ64" s="11">
        <f t="shared" si="92"/>
        <v>0.49</v>
      </c>
      <c r="AR64" s="11">
        <f t="shared" si="93"/>
        <v>0.5</v>
      </c>
      <c r="AS64" s="9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</row>
    <row r="65" spans="1:81" ht="8.4499999999999993" customHeight="1">
      <c r="J65" s="9"/>
      <c r="K65" s="11">
        <f t="shared" si="64"/>
        <v>0.31000000000000005</v>
      </c>
      <c r="L65" s="11">
        <f t="shared" si="65"/>
        <v>0.32000000000000006</v>
      </c>
      <c r="M65" s="11">
        <f t="shared" si="66"/>
        <v>0.33</v>
      </c>
      <c r="N65" s="11">
        <f t="shared" si="67"/>
        <v>0.34</v>
      </c>
      <c r="O65" s="11">
        <f t="shared" si="68"/>
        <v>0.35</v>
      </c>
      <c r="P65" s="11">
        <f t="shared" si="69"/>
        <v>0.36</v>
      </c>
      <c r="Q65" s="11">
        <f t="shared" si="70"/>
        <v>0.37</v>
      </c>
      <c r="R65" s="11">
        <f t="shared" si="71"/>
        <v>0.38</v>
      </c>
      <c r="S65" s="11">
        <f t="shared" si="72"/>
        <v>0.39</v>
      </c>
      <c r="T65" s="11">
        <f t="shared" si="73"/>
        <v>0.4</v>
      </c>
      <c r="U65" s="9"/>
      <c r="V65" s="9"/>
      <c r="W65" s="11">
        <f t="shared" si="74"/>
        <v>0.31000000000000005</v>
      </c>
      <c r="X65" s="11">
        <f t="shared" si="75"/>
        <v>0.32000000000000006</v>
      </c>
      <c r="Y65" s="11">
        <f t="shared" si="76"/>
        <v>0.33</v>
      </c>
      <c r="Z65" s="11">
        <f t="shared" si="77"/>
        <v>0.34</v>
      </c>
      <c r="AA65" s="11">
        <f t="shared" si="78"/>
        <v>0.35</v>
      </c>
      <c r="AB65" s="11">
        <f t="shared" si="79"/>
        <v>0.36</v>
      </c>
      <c r="AC65" s="11">
        <f t="shared" si="80"/>
        <v>0.37</v>
      </c>
      <c r="AD65" s="11">
        <f t="shared" si="81"/>
        <v>0.38</v>
      </c>
      <c r="AE65" s="11">
        <f t="shared" si="82"/>
        <v>0.39</v>
      </c>
      <c r="AF65" s="11">
        <f t="shared" si="83"/>
        <v>0.4</v>
      </c>
      <c r="AG65" s="9"/>
      <c r="AH65" s="9"/>
      <c r="AI65" s="11">
        <f t="shared" si="84"/>
        <v>0.31000000000000005</v>
      </c>
      <c r="AJ65" s="11">
        <f t="shared" si="85"/>
        <v>0.32000000000000006</v>
      </c>
      <c r="AK65" s="11">
        <f t="shared" si="86"/>
        <v>0.33</v>
      </c>
      <c r="AL65" s="11">
        <f t="shared" si="87"/>
        <v>0.34</v>
      </c>
      <c r="AM65" s="11">
        <f t="shared" si="88"/>
        <v>0.35</v>
      </c>
      <c r="AN65" s="11">
        <f t="shared" si="89"/>
        <v>0.36</v>
      </c>
      <c r="AO65" s="11">
        <f t="shared" si="90"/>
        <v>0.37</v>
      </c>
      <c r="AP65" s="11">
        <f t="shared" si="91"/>
        <v>0.38</v>
      </c>
      <c r="AQ65" s="11">
        <f t="shared" si="92"/>
        <v>0.39</v>
      </c>
      <c r="AR65" s="11">
        <f t="shared" si="93"/>
        <v>0.4</v>
      </c>
      <c r="AS65" s="9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</row>
    <row r="66" spans="1:81" ht="8.4499999999999993" customHeight="1">
      <c r="J66" s="9"/>
      <c r="K66" s="11">
        <f t="shared" si="64"/>
        <v>0.21000000000000002</v>
      </c>
      <c r="L66" s="11">
        <f t="shared" si="65"/>
        <v>0.22000000000000003</v>
      </c>
      <c r="M66" s="11">
        <f t="shared" si="66"/>
        <v>0.23</v>
      </c>
      <c r="N66" s="11">
        <f t="shared" si="67"/>
        <v>0.24000000000000002</v>
      </c>
      <c r="O66" s="11">
        <f t="shared" si="68"/>
        <v>0.25</v>
      </c>
      <c r="P66" s="11">
        <f t="shared" si="69"/>
        <v>0.26</v>
      </c>
      <c r="Q66" s="11">
        <f t="shared" si="70"/>
        <v>0.27</v>
      </c>
      <c r="R66" s="11">
        <f t="shared" si="71"/>
        <v>0.28000000000000003</v>
      </c>
      <c r="S66" s="11">
        <f t="shared" si="72"/>
        <v>0.29000000000000004</v>
      </c>
      <c r="T66" s="11">
        <f t="shared" si="73"/>
        <v>0.30000000000000004</v>
      </c>
      <c r="U66" s="9"/>
      <c r="V66" s="9"/>
      <c r="W66" s="11">
        <f t="shared" si="74"/>
        <v>0.21000000000000002</v>
      </c>
      <c r="X66" s="11">
        <f t="shared" si="75"/>
        <v>0.22000000000000003</v>
      </c>
      <c r="Y66" s="11">
        <f t="shared" si="76"/>
        <v>0.23</v>
      </c>
      <c r="Z66" s="11">
        <f t="shared" si="77"/>
        <v>0.24000000000000002</v>
      </c>
      <c r="AA66" s="11">
        <f t="shared" si="78"/>
        <v>0.25</v>
      </c>
      <c r="AB66" s="11">
        <f t="shared" si="79"/>
        <v>0.26</v>
      </c>
      <c r="AC66" s="11">
        <f t="shared" si="80"/>
        <v>0.27</v>
      </c>
      <c r="AD66" s="11">
        <f t="shared" si="81"/>
        <v>0.28000000000000003</v>
      </c>
      <c r="AE66" s="11">
        <f t="shared" si="82"/>
        <v>0.29000000000000004</v>
      </c>
      <c r="AF66" s="11">
        <f t="shared" si="83"/>
        <v>0.30000000000000004</v>
      </c>
      <c r="AG66" s="9"/>
      <c r="AH66" s="9"/>
      <c r="AI66" s="11">
        <f t="shared" si="84"/>
        <v>0.21000000000000002</v>
      </c>
      <c r="AJ66" s="11">
        <f t="shared" si="85"/>
        <v>0.22000000000000003</v>
      </c>
      <c r="AK66" s="11">
        <f t="shared" si="86"/>
        <v>0.23</v>
      </c>
      <c r="AL66" s="11">
        <f t="shared" si="87"/>
        <v>0.24000000000000002</v>
      </c>
      <c r="AM66" s="11">
        <f t="shared" si="88"/>
        <v>0.25</v>
      </c>
      <c r="AN66" s="11">
        <f t="shared" si="89"/>
        <v>0.26</v>
      </c>
      <c r="AO66" s="11">
        <f t="shared" si="90"/>
        <v>0.27</v>
      </c>
      <c r="AP66" s="11">
        <f t="shared" si="91"/>
        <v>0.28000000000000003</v>
      </c>
      <c r="AQ66" s="11">
        <f t="shared" si="92"/>
        <v>0.29000000000000004</v>
      </c>
      <c r="AR66" s="11">
        <f t="shared" si="93"/>
        <v>0.30000000000000004</v>
      </c>
      <c r="AS66" s="9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</row>
    <row r="67" spans="1:81" ht="8.4499999999999993" customHeight="1">
      <c r="J67" s="9"/>
      <c r="K67" s="11">
        <f>K68+0.1</f>
        <v>0.11</v>
      </c>
      <c r="L67" s="11">
        <f t="shared" si="65"/>
        <v>0.12000000000000001</v>
      </c>
      <c r="M67" s="11">
        <f t="shared" si="66"/>
        <v>0.13</v>
      </c>
      <c r="N67" s="11">
        <f t="shared" si="67"/>
        <v>0.14000000000000001</v>
      </c>
      <c r="O67" s="11">
        <f t="shared" si="68"/>
        <v>0.15000000000000002</v>
      </c>
      <c r="P67" s="11">
        <f t="shared" si="69"/>
        <v>0.16</v>
      </c>
      <c r="Q67" s="11">
        <f t="shared" si="70"/>
        <v>0.17</v>
      </c>
      <c r="R67" s="11">
        <f t="shared" si="71"/>
        <v>0.18</v>
      </c>
      <c r="S67" s="11">
        <f t="shared" si="72"/>
        <v>0.19</v>
      </c>
      <c r="T67" s="11">
        <f t="shared" si="73"/>
        <v>0.2</v>
      </c>
      <c r="U67" s="9"/>
      <c r="V67" s="9"/>
      <c r="W67" s="11">
        <f>W68+0.1</f>
        <v>0.11</v>
      </c>
      <c r="X67" s="11">
        <f t="shared" si="75"/>
        <v>0.12000000000000001</v>
      </c>
      <c r="Y67" s="11">
        <f t="shared" si="76"/>
        <v>0.13</v>
      </c>
      <c r="Z67" s="11">
        <f t="shared" si="77"/>
        <v>0.14000000000000001</v>
      </c>
      <c r="AA67" s="11">
        <f t="shared" si="78"/>
        <v>0.15000000000000002</v>
      </c>
      <c r="AB67" s="11">
        <f t="shared" si="79"/>
        <v>0.16</v>
      </c>
      <c r="AC67" s="11">
        <f t="shared" si="80"/>
        <v>0.17</v>
      </c>
      <c r="AD67" s="11">
        <f t="shared" si="81"/>
        <v>0.18</v>
      </c>
      <c r="AE67" s="11">
        <f t="shared" si="82"/>
        <v>0.19</v>
      </c>
      <c r="AF67" s="11">
        <f t="shared" si="83"/>
        <v>0.2</v>
      </c>
      <c r="AG67" s="9"/>
      <c r="AH67" s="9"/>
      <c r="AI67" s="11">
        <f>AI68+0.1</f>
        <v>0.11</v>
      </c>
      <c r="AJ67" s="11">
        <f t="shared" si="85"/>
        <v>0.12000000000000001</v>
      </c>
      <c r="AK67" s="11">
        <f t="shared" si="86"/>
        <v>0.13</v>
      </c>
      <c r="AL67" s="11">
        <f t="shared" si="87"/>
        <v>0.14000000000000001</v>
      </c>
      <c r="AM67" s="11">
        <f t="shared" si="88"/>
        <v>0.15000000000000002</v>
      </c>
      <c r="AN67" s="11">
        <f t="shared" si="89"/>
        <v>0.16</v>
      </c>
      <c r="AO67" s="11">
        <f t="shared" si="90"/>
        <v>0.17</v>
      </c>
      <c r="AP67" s="11">
        <f t="shared" si="91"/>
        <v>0.18</v>
      </c>
      <c r="AQ67" s="11">
        <f t="shared" si="92"/>
        <v>0.19</v>
      </c>
      <c r="AR67" s="11">
        <f t="shared" si="93"/>
        <v>0.2</v>
      </c>
      <c r="AS67" s="9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</row>
    <row r="68" spans="1:81" ht="8.4499999999999993" customHeight="1">
      <c r="J68" s="9"/>
      <c r="K68" s="11">
        <f>0.01</f>
        <v>0.01</v>
      </c>
      <c r="L68" s="11">
        <f>K68+0.01</f>
        <v>0.02</v>
      </c>
      <c r="M68" s="11">
        <f t="shared" ref="M68:T68" si="94">L68+0.01</f>
        <v>0.03</v>
      </c>
      <c r="N68" s="11">
        <f t="shared" si="94"/>
        <v>0.04</v>
      </c>
      <c r="O68" s="11">
        <f t="shared" si="94"/>
        <v>0.05</v>
      </c>
      <c r="P68" s="11">
        <f t="shared" si="94"/>
        <v>6.0000000000000005E-2</v>
      </c>
      <c r="Q68" s="11">
        <f t="shared" si="94"/>
        <v>7.0000000000000007E-2</v>
      </c>
      <c r="R68" s="11">
        <f t="shared" si="94"/>
        <v>0.08</v>
      </c>
      <c r="S68" s="11">
        <f t="shared" si="94"/>
        <v>0.09</v>
      </c>
      <c r="T68" s="11">
        <f t="shared" si="94"/>
        <v>9.9999999999999992E-2</v>
      </c>
      <c r="U68" s="9"/>
      <c r="V68" s="9"/>
      <c r="W68" s="11">
        <f>0.01</f>
        <v>0.01</v>
      </c>
      <c r="X68" s="11">
        <f>W68+0.01</f>
        <v>0.02</v>
      </c>
      <c r="Y68" s="11">
        <f t="shared" ref="Y68:AF68" si="95">X68+0.01</f>
        <v>0.03</v>
      </c>
      <c r="Z68" s="11">
        <f t="shared" si="95"/>
        <v>0.04</v>
      </c>
      <c r="AA68" s="11">
        <f t="shared" si="95"/>
        <v>0.05</v>
      </c>
      <c r="AB68" s="11">
        <f t="shared" si="95"/>
        <v>6.0000000000000005E-2</v>
      </c>
      <c r="AC68" s="11">
        <f t="shared" si="95"/>
        <v>7.0000000000000007E-2</v>
      </c>
      <c r="AD68" s="11">
        <f t="shared" si="95"/>
        <v>0.08</v>
      </c>
      <c r="AE68" s="11">
        <f t="shared" si="95"/>
        <v>0.09</v>
      </c>
      <c r="AF68" s="11">
        <f t="shared" si="95"/>
        <v>9.9999999999999992E-2</v>
      </c>
      <c r="AG68" s="9"/>
      <c r="AH68" s="9"/>
      <c r="AI68" s="11">
        <f>0.01</f>
        <v>0.01</v>
      </c>
      <c r="AJ68" s="11">
        <f>AI68+0.01</f>
        <v>0.02</v>
      </c>
      <c r="AK68" s="11">
        <f t="shared" ref="AK68:AR68" si="96">AJ68+0.01</f>
        <v>0.03</v>
      </c>
      <c r="AL68" s="11">
        <f t="shared" si="96"/>
        <v>0.04</v>
      </c>
      <c r="AM68" s="11">
        <f t="shared" si="96"/>
        <v>0.05</v>
      </c>
      <c r="AN68" s="11">
        <f t="shared" si="96"/>
        <v>6.0000000000000005E-2</v>
      </c>
      <c r="AO68" s="11">
        <f t="shared" si="96"/>
        <v>7.0000000000000007E-2</v>
      </c>
      <c r="AP68" s="11">
        <f t="shared" si="96"/>
        <v>0.08</v>
      </c>
      <c r="AQ68" s="11">
        <f t="shared" si="96"/>
        <v>0.09</v>
      </c>
      <c r="AR68" s="11">
        <f t="shared" si="96"/>
        <v>9.9999999999999992E-2</v>
      </c>
      <c r="AS68" s="9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</row>
    <row r="69" spans="1:81" ht="15" customHeight="1"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</row>
    <row r="70" spans="1:81" ht="15" customHeight="1">
      <c r="B70" s="23" t="s">
        <v>28</v>
      </c>
      <c r="C70" s="23" t="s">
        <v>29</v>
      </c>
      <c r="D70" s="23"/>
      <c r="E70" s="23"/>
      <c r="F70" s="23"/>
    </row>
    <row r="71" spans="1:81" ht="15" customHeight="1">
      <c r="A71" s="18" t="s">
        <v>27</v>
      </c>
      <c r="B71" s="20" t="s">
        <v>0</v>
      </c>
      <c r="C71" s="20" t="s">
        <v>1</v>
      </c>
      <c r="D71" s="20" t="s">
        <v>2</v>
      </c>
      <c r="E71" s="20"/>
      <c r="F71" s="20"/>
      <c r="J71" s="159" t="str">
        <f>UPPER(A72)</f>
        <v>FOOD-INSECURE PEOPLE</v>
      </c>
      <c r="K71" s="159"/>
      <c r="L71" s="159"/>
      <c r="M71" s="159"/>
      <c r="N71" s="159"/>
      <c r="O71" s="159"/>
      <c r="P71" s="159"/>
      <c r="Q71" s="159"/>
      <c r="R71" s="159"/>
      <c r="S71" s="159"/>
      <c r="V71" s="159" t="str">
        <f>UPPER(A73)</f>
        <v>MALOURISHED CHILDREN</v>
      </c>
      <c r="W71" s="159"/>
      <c r="X71" s="159"/>
      <c r="Y71" s="159"/>
      <c r="Z71" s="159"/>
      <c r="AA71" s="159"/>
      <c r="AB71" s="159"/>
      <c r="AC71" s="159"/>
      <c r="AD71" s="159"/>
      <c r="AE71" s="159"/>
      <c r="AH71" s="159" t="str">
        <f>UPPER(A74)</f>
        <v>LOREM IPSUM</v>
      </c>
      <c r="AI71" s="159"/>
      <c r="AJ71" s="159"/>
      <c r="AK71" s="159"/>
      <c r="AL71" s="159"/>
      <c r="AM71" s="159"/>
      <c r="AN71" s="159"/>
      <c r="AO71" s="159"/>
      <c r="AP71" s="159"/>
      <c r="AQ71" s="159"/>
      <c r="AT71" s="159" t="str">
        <f>UPPER(A75)</f>
        <v>LOREM IPSUM DOLOR SIT AMET</v>
      </c>
      <c r="AU71" s="159"/>
      <c r="AV71" s="159"/>
      <c r="AW71" s="159"/>
      <c r="AX71" s="159"/>
      <c r="AY71" s="159"/>
      <c r="AZ71" s="159"/>
      <c r="BA71" s="159"/>
      <c r="BB71" s="159"/>
      <c r="BC71" s="159"/>
      <c r="BF71" s="159" t="str">
        <f>UPPER(A76)</f>
        <v>MAURIS FINIBUS</v>
      </c>
      <c r="BG71" s="159"/>
      <c r="BH71" s="159"/>
      <c r="BI71" s="159"/>
      <c r="BJ71" s="159"/>
      <c r="BK71" s="159"/>
      <c r="BL71" s="159"/>
      <c r="BM71" s="159"/>
      <c r="BN71" s="159"/>
      <c r="BO71" s="159"/>
      <c r="BR71" s="159" t="str">
        <f>UPPER(A77)</f>
        <v>LOREM IPSUM</v>
      </c>
      <c r="BS71" s="159"/>
      <c r="BT71" s="159"/>
      <c r="BU71" s="159"/>
      <c r="BV71" s="159"/>
      <c r="BW71" s="159"/>
      <c r="BX71" s="159"/>
      <c r="BY71" s="159"/>
      <c r="BZ71" s="159"/>
      <c r="CA71" s="159"/>
    </row>
    <row r="72" spans="1:81" ht="15" customHeight="1">
      <c r="A72" s="19" t="s">
        <v>23</v>
      </c>
      <c r="B72" s="21">
        <v>300000</v>
      </c>
      <c r="C72" s="21">
        <v>1200000</v>
      </c>
      <c r="D72" s="21"/>
      <c r="E72" s="42"/>
      <c r="F72" s="42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</row>
    <row r="73" spans="1:81" ht="15" customHeight="1">
      <c r="A73" s="17" t="s">
        <v>24</v>
      </c>
      <c r="B73" s="22">
        <v>96000</v>
      </c>
      <c r="C73" s="22">
        <v>257866</v>
      </c>
      <c r="D73" s="22"/>
      <c r="E73" s="22"/>
      <c r="F73" s="22"/>
    </row>
    <row r="74" spans="1:81" ht="15" customHeight="1">
      <c r="A74" s="17" t="s">
        <v>8</v>
      </c>
      <c r="B74" s="22">
        <v>435000</v>
      </c>
      <c r="C74" s="22">
        <v>244899</v>
      </c>
      <c r="D74" s="22">
        <v>87700</v>
      </c>
      <c r="E74" s="22"/>
      <c r="F74" s="22"/>
      <c r="I74" s="168">
        <f>SUM(B72:D72)</f>
        <v>1500000</v>
      </c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2"/>
      <c r="U74" s="168">
        <f>SUM(B73:D73)</f>
        <v>353866</v>
      </c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2"/>
      <c r="AG74" s="168">
        <f>SUM('PN Caseload'!$B74:$D74)</f>
        <v>767599</v>
      </c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2"/>
      <c r="AS74" s="168">
        <f>SUM(B75:D75)</f>
        <v>750123</v>
      </c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2"/>
      <c r="BE74" s="168">
        <f>SUM(B76:D76)</f>
        <v>599847</v>
      </c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2"/>
      <c r="BQ74" s="168">
        <f>SUM(B77:D77)</f>
        <v>206185</v>
      </c>
      <c r="BR74" s="168"/>
      <c r="BS74" s="168"/>
      <c r="BT74" s="168"/>
      <c r="BU74" s="168"/>
      <c r="BV74" s="168"/>
      <c r="BW74" s="168"/>
      <c r="BX74" s="168"/>
      <c r="BY74" s="168"/>
      <c r="BZ74" s="168"/>
      <c r="CA74" s="168"/>
    </row>
    <row r="75" spans="1:81" ht="15" customHeight="1">
      <c r="A75" s="17" t="s">
        <v>25</v>
      </c>
      <c r="B75" s="22">
        <v>750123</v>
      </c>
      <c r="C75" s="22">
        <v>0</v>
      </c>
      <c r="D75" s="22"/>
      <c r="E75" s="22"/>
      <c r="F75" s="22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2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2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2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2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2"/>
      <c r="BQ75" s="168"/>
      <c r="BR75" s="168"/>
      <c r="BS75" s="168"/>
      <c r="BT75" s="168"/>
      <c r="BU75" s="168"/>
      <c r="BV75" s="168"/>
      <c r="BW75" s="168"/>
      <c r="BX75" s="168"/>
      <c r="BY75" s="168"/>
      <c r="BZ75" s="168"/>
      <c r="CA75" s="168"/>
    </row>
    <row r="76" spans="1:81" ht="15" customHeight="1">
      <c r="A76" s="17" t="s">
        <v>40</v>
      </c>
      <c r="B76" s="22">
        <v>599847</v>
      </c>
      <c r="C76" s="22">
        <v>0</v>
      </c>
      <c r="D76" s="22"/>
      <c r="E76" s="22"/>
      <c r="F76" s="22"/>
    </row>
    <row r="77" spans="1:81" ht="15" customHeight="1">
      <c r="A77" s="17" t="s">
        <v>26</v>
      </c>
      <c r="B77" s="22">
        <v>206185</v>
      </c>
      <c r="C77" s="22">
        <v>0</v>
      </c>
      <c r="D77" s="22"/>
      <c r="E77" s="22"/>
      <c r="F77" s="22"/>
    </row>
    <row r="78" spans="1:81" ht="15" customHeight="1">
      <c r="B78" s="14"/>
      <c r="C78" s="14"/>
      <c r="D78" s="14"/>
      <c r="E78" s="14"/>
      <c r="F78" s="14"/>
    </row>
    <row r="79" spans="1:81" ht="15" customHeight="1"/>
    <row r="80" spans="1:81" ht="15" customHeight="1"/>
    <row r="81" spans="1:79" ht="15" customHeight="1"/>
    <row r="82" spans="1:79" ht="15" customHeight="1"/>
    <row r="83" spans="1:79" ht="15" customHeight="1"/>
    <row r="84" spans="1:79" ht="15" customHeight="1"/>
    <row r="85" spans="1:79" ht="15" customHeight="1">
      <c r="A85" s="172" t="s">
        <v>18</v>
      </c>
      <c r="B85" s="172"/>
      <c r="C85" s="16">
        <v>30</v>
      </c>
      <c r="D85" s="173" t="s">
        <v>22</v>
      </c>
      <c r="E85" s="173"/>
      <c r="F85" s="173"/>
      <c r="G85" s="173"/>
      <c r="H85" s="173"/>
      <c r="I85" s="173"/>
      <c r="J85" s="173"/>
      <c r="K85" s="174">
        <f>$C$85/SQRT(MAX($I$74:$CA$75))*SQRT(I74)</f>
        <v>30</v>
      </c>
      <c r="L85" s="174"/>
      <c r="M85" s="174"/>
      <c r="N85" s="174"/>
      <c r="O85" s="174"/>
      <c r="P85" s="174"/>
      <c r="Q85" s="174"/>
      <c r="R85" s="174"/>
      <c r="S85" s="174"/>
      <c r="T85" s="6"/>
      <c r="U85" s="6"/>
      <c r="V85" s="6"/>
      <c r="W85" s="174">
        <f>$C$85/SQRT(MAX($I$74:$CA$75))*SQRT(U74)</f>
        <v>14.571190754361842</v>
      </c>
      <c r="X85" s="174"/>
      <c r="Y85" s="174"/>
      <c r="Z85" s="174"/>
      <c r="AA85" s="174"/>
      <c r="AB85" s="174"/>
      <c r="AC85" s="174"/>
      <c r="AD85" s="174"/>
      <c r="AE85" s="174"/>
      <c r="AF85" s="6"/>
      <c r="AG85" s="6"/>
      <c r="AH85" s="6"/>
      <c r="AI85" s="174">
        <f>$C$85/SQRT(MAX($I$74:$CA$75))*SQRT(AG74)</f>
        <v>21.460647706907636</v>
      </c>
      <c r="AJ85" s="174"/>
      <c r="AK85" s="174"/>
      <c r="AL85" s="174"/>
      <c r="AM85" s="174"/>
      <c r="AN85" s="174"/>
      <c r="AO85" s="174"/>
      <c r="AP85" s="174"/>
      <c r="AQ85" s="174"/>
      <c r="AR85" s="6"/>
      <c r="AS85" s="6"/>
      <c r="AT85" s="6"/>
      <c r="AU85" s="174">
        <f>$C$85/SQRT(MAX($I$74:$CA$75))*SQRT(AS74)</f>
        <v>21.214942846965204</v>
      </c>
      <c r="AV85" s="174"/>
      <c r="AW85" s="174"/>
      <c r="AX85" s="174"/>
      <c r="AY85" s="174"/>
      <c r="AZ85" s="174"/>
      <c r="BA85" s="174"/>
      <c r="BB85" s="174"/>
      <c r="BC85" s="174"/>
      <c r="BD85" s="6"/>
      <c r="BE85" s="6"/>
      <c r="BF85" s="6"/>
      <c r="BG85" s="174">
        <f>$C$85/SQRT(MAX($I$74:$CA$75))*SQRT(BE74)</f>
        <v>18.971246664360251</v>
      </c>
      <c r="BH85" s="174"/>
      <c r="BI85" s="174"/>
      <c r="BJ85" s="174"/>
      <c r="BK85" s="174"/>
      <c r="BL85" s="174"/>
      <c r="BM85" s="174"/>
      <c r="BN85" s="174"/>
      <c r="BO85" s="174"/>
      <c r="BP85" s="6"/>
      <c r="BQ85" s="6"/>
      <c r="BR85" s="6"/>
      <c r="BS85" s="174">
        <f>$C$85/SQRT(MAX($I$74:$CA$75))*SQRT(BQ74)</f>
        <v>11.122544672870504</v>
      </c>
      <c r="BT85" s="174"/>
      <c r="BU85" s="174"/>
      <c r="BV85" s="174"/>
      <c r="BW85" s="174"/>
      <c r="BX85" s="174"/>
      <c r="BY85" s="174"/>
      <c r="BZ85" s="174"/>
      <c r="CA85" s="174"/>
    </row>
    <row r="86" spans="1:79" ht="15" customHeight="1"/>
    <row r="87" spans="1:79" ht="15" customHeight="1">
      <c r="K87" s="164" t="s">
        <v>48</v>
      </c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</row>
    <row r="88" spans="1:79" ht="15" customHeight="1"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</row>
    <row r="89" spans="1:79" ht="15" customHeight="1"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</row>
    <row r="90" spans="1:79" ht="15" customHeight="1"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</row>
    <row r="91" spans="1:79" ht="15" customHeight="1"/>
    <row r="92" spans="1:79" ht="15" customHeight="1"/>
    <row r="93" spans="1:79" ht="15" customHeight="1"/>
    <row r="94" spans="1:79" ht="15" customHeight="1"/>
    <row r="95" spans="1:79" ht="15" customHeight="1"/>
    <row r="96" spans="1:7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</sheetData>
  <mergeCells count="81">
    <mergeCell ref="BX51:CB52"/>
    <mergeCell ref="BH49:BK50"/>
    <mergeCell ref="A10:D10"/>
    <mergeCell ref="A8:D8"/>
    <mergeCell ref="J15:Y19"/>
    <mergeCell ref="J21:Y25"/>
    <mergeCell ref="J20:BZ20"/>
    <mergeCell ref="J14:BZ14"/>
    <mergeCell ref="AU51:AU52"/>
    <mergeCell ref="BG49:BG50"/>
    <mergeCell ref="BG51:BG52"/>
    <mergeCell ref="BS49:BS50"/>
    <mergeCell ref="BS51:BS52"/>
    <mergeCell ref="AV51:AY52"/>
    <mergeCell ref="AZ51:BD52"/>
    <mergeCell ref="AZ49:BD50"/>
    <mergeCell ref="BL49:BP50"/>
    <mergeCell ref="BH51:BK52"/>
    <mergeCell ref="BL51:BP52"/>
    <mergeCell ref="AZ56:BJ57"/>
    <mergeCell ref="BL56:BV57"/>
    <mergeCell ref="BA54:BJ54"/>
    <mergeCell ref="BM54:BV54"/>
    <mergeCell ref="BT49:BW50"/>
    <mergeCell ref="BT51:BW52"/>
    <mergeCell ref="AV49:AY50"/>
    <mergeCell ref="A23:B23"/>
    <mergeCell ref="A24:B24"/>
    <mergeCell ref="A25:B25"/>
    <mergeCell ref="A26:B26"/>
    <mergeCell ref="AU33:BD34"/>
    <mergeCell ref="AT36:BD37"/>
    <mergeCell ref="J36:T37"/>
    <mergeCell ref="V36:AF37"/>
    <mergeCell ref="AH36:AR37"/>
    <mergeCell ref="J26:BZ26"/>
    <mergeCell ref="J27:Y31"/>
    <mergeCell ref="AU49:AU50"/>
    <mergeCell ref="BX49:CB50"/>
    <mergeCell ref="BG33:BP34"/>
    <mergeCell ref="BF36:BP37"/>
    <mergeCell ref="BS33:CB34"/>
    <mergeCell ref="BR36:CB37"/>
    <mergeCell ref="A85:B85"/>
    <mergeCell ref="BF71:BO72"/>
    <mergeCell ref="BR71:CA72"/>
    <mergeCell ref="BE74:BO75"/>
    <mergeCell ref="BQ74:CA75"/>
    <mergeCell ref="D85:J85"/>
    <mergeCell ref="K85:S85"/>
    <mergeCell ref="W85:AE85"/>
    <mergeCell ref="AI85:AQ85"/>
    <mergeCell ref="AU85:BC85"/>
    <mergeCell ref="BG85:BO85"/>
    <mergeCell ref="BS85:CA85"/>
    <mergeCell ref="I74:S75"/>
    <mergeCell ref="U74:AE75"/>
    <mergeCell ref="W53:AF54"/>
    <mergeCell ref="AG74:AQ75"/>
    <mergeCell ref="AS74:BC75"/>
    <mergeCell ref="V56:AF57"/>
    <mergeCell ref="AH56:AR57"/>
    <mergeCell ref="V71:AE72"/>
    <mergeCell ref="AH71:AQ72"/>
    <mergeCell ref="AT71:BC72"/>
    <mergeCell ref="J71:S72"/>
    <mergeCell ref="J56:T57"/>
    <mergeCell ref="K53:T54"/>
    <mergeCell ref="K87:CA90"/>
    <mergeCell ref="A4:D4"/>
    <mergeCell ref="K33:T34"/>
    <mergeCell ref="W33:AF34"/>
    <mergeCell ref="AI33:AR34"/>
    <mergeCell ref="A20:B20"/>
    <mergeCell ref="A15:B15"/>
    <mergeCell ref="A16:B16"/>
    <mergeCell ref="A17:B17"/>
    <mergeCell ref="A18:B18"/>
    <mergeCell ref="A19:B19"/>
    <mergeCell ref="L4:CA4"/>
    <mergeCell ref="AI53:AR54"/>
  </mergeCells>
  <conditionalFormatting sqref="K39:T48">
    <cfRule type="expression" dxfId="26" priority="52">
      <formula>K39&lt;=$D$15</formula>
    </cfRule>
  </conditionalFormatting>
  <conditionalFormatting sqref="W39:AF48">
    <cfRule type="expression" dxfId="25" priority="53">
      <formula>W39&lt;=$D$16</formula>
    </cfRule>
  </conditionalFormatting>
  <conditionalFormatting sqref="AI39:AR48">
    <cfRule type="expression" dxfId="24" priority="54">
      <formula>AI39&lt;=$D$17</formula>
    </cfRule>
  </conditionalFormatting>
  <conditionalFormatting sqref="K59:T68">
    <cfRule type="expression" dxfId="23" priority="55">
      <formula>K59&lt;=$D$18</formula>
    </cfRule>
  </conditionalFormatting>
  <conditionalFormatting sqref="W59:AF68">
    <cfRule type="expression" dxfId="22" priority="56">
      <formula>W59&lt;=$D$19</formula>
    </cfRule>
  </conditionalFormatting>
  <conditionalFormatting sqref="AI59:AR68">
    <cfRule type="expression" dxfId="21" priority="57">
      <formula>AI59&lt;=$D$20</formula>
    </cfRule>
  </conditionalFormatting>
  <conditionalFormatting sqref="AU39:BD48">
    <cfRule type="expression" dxfId="20" priority="58">
      <formula>AU39&lt;=($C$23/$E$26)</formula>
    </cfRule>
    <cfRule type="expression" dxfId="19" priority="59">
      <formula>AU39&lt;=$F$23</formula>
    </cfRule>
  </conditionalFormatting>
  <conditionalFormatting sqref="BG39:BP48">
    <cfRule type="expression" dxfId="18" priority="60">
      <formula>BG39&lt;=($C$24/$E$26)</formula>
    </cfRule>
    <cfRule type="expression" dxfId="17" priority="61">
      <formula>BG39&lt;=$F$24</formula>
    </cfRule>
  </conditionalFormatting>
  <conditionalFormatting sqref="BS39:CB48">
    <cfRule type="expression" dxfId="16" priority="62">
      <formula>BS39&lt;=($C$25/$E$26)</formula>
    </cfRule>
    <cfRule type="expression" dxfId="15" priority="63">
      <formula>BS39&lt;=$F$25</formula>
    </cfRule>
  </conditionalFormatting>
  <pageMargins left="0.7" right="0.7" top="0.75" bottom="0.75" header="0.3" footer="0.3"/>
  <pageSetup paperSize="9" orientation="portrait" r:id="rId1"/>
  <ignoredErrors>
    <ignoredError sqref="A72" calculatedColumn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</sheetPr>
  <dimension ref="A1:CA33"/>
  <sheetViews>
    <sheetView showGridLines="0" zoomScale="50" zoomScaleNormal="50" workbookViewId="0">
      <selection activeCell="M25" sqref="M25"/>
    </sheetView>
  </sheetViews>
  <sheetFormatPr defaultRowHeight="15"/>
  <cols>
    <col min="1" max="1" width="11.28515625" customWidth="1"/>
    <col min="2" max="2" width="11.7109375" customWidth="1"/>
    <col min="3" max="3" width="12.7109375" customWidth="1"/>
    <col min="4" max="4" width="11.42578125" customWidth="1"/>
  </cols>
  <sheetData>
    <row r="1" spans="1:79" ht="28.5">
      <c r="A1" s="4" t="s">
        <v>46</v>
      </c>
      <c r="H1" s="4" t="s">
        <v>46</v>
      </c>
    </row>
    <row r="2" spans="1:79">
      <c r="A2" s="5" t="s">
        <v>45</v>
      </c>
      <c r="B2" s="5"/>
      <c r="C2" s="5"/>
      <c r="D2" s="5"/>
      <c r="E2" s="5"/>
      <c r="F2" s="5"/>
      <c r="H2" s="5" t="s">
        <v>45</v>
      </c>
      <c r="I2" s="5"/>
      <c r="J2" s="5"/>
      <c r="K2" s="5"/>
      <c r="L2" s="5"/>
      <c r="M2" s="5"/>
      <c r="N2" s="5"/>
    </row>
    <row r="3" spans="1:79" ht="8.25" customHeight="1"/>
    <row r="4" spans="1:79" ht="23.25" customHeight="1">
      <c r="A4" s="157" t="s">
        <v>34</v>
      </c>
      <c r="B4" s="157"/>
      <c r="C4" s="157"/>
      <c r="D4" s="157"/>
      <c r="E4" s="8"/>
      <c r="F4" s="8"/>
      <c r="I4" s="27" t="s">
        <v>35</v>
      </c>
      <c r="J4" s="27"/>
      <c r="K4" s="27"/>
      <c r="L4" s="27"/>
      <c r="M4" s="27"/>
      <c r="N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8"/>
    </row>
    <row r="5" spans="1:79" ht="15" customHeight="1">
      <c r="A5" s="26"/>
      <c r="B5" s="26"/>
      <c r="C5" s="26"/>
      <c r="D5" s="26"/>
      <c r="E5" s="8"/>
      <c r="F5" s="8"/>
      <c r="G5" s="8"/>
      <c r="H5" s="8"/>
      <c r="I5" s="8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8"/>
    </row>
    <row r="6" spans="1:79" ht="15" customHeight="1">
      <c r="A6" s="26" t="s">
        <v>67</v>
      </c>
      <c r="B6" s="26"/>
      <c r="C6" s="26"/>
      <c r="D6" s="26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8"/>
    </row>
    <row r="7" spans="1:79">
      <c r="B7" t="s">
        <v>39</v>
      </c>
    </row>
    <row r="8" spans="1:79" ht="30">
      <c r="B8" s="29"/>
      <c r="C8" s="29" t="s">
        <v>37</v>
      </c>
      <c r="D8" s="29" t="s">
        <v>38</v>
      </c>
    </row>
    <row r="9" spans="1:79">
      <c r="B9" s="31">
        <v>41670</v>
      </c>
      <c r="C9" s="30">
        <v>123</v>
      </c>
      <c r="D9" s="30">
        <v>1200</v>
      </c>
      <c r="E9" s="36"/>
      <c r="F9" s="36"/>
      <c r="G9" s="36"/>
      <c r="H9" s="36" t="str">
        <f>UPPER(B7)</f>
        <v>LOREM IPSUM</v>
      </c>
      <c r="I9" s="36"/>
      <c r="J9" s="37"/>
      <c r="K9" s="38"/>
      <c r="L9" s="38"/>
      <c r="M9" s="38"/>
      <c r="N9" s="38" t="str">
        <f>UPPER(B25)</f>
        <v>MAURIS FINIBUS</v>
      </c>
      <c r="O9" s="38"/>
      <c r="P9" s="38"/>
      <c r="Q9" s="38"/>
      <c r="R9" s="38"/>
      <c r="S9" s="38"/>
      <c r="T9" s="38" t="str">
        <f>UPPER(B31)</f>
        <v>NUTRITION</v>
      </c>
      <c r="U9" s="38"/>
      <c r="V9" s="38"/>
      <c r="W9" s="38"/>
      <c r="X9" s="38"/>
      <c r="Y9" s="38"/>
    </row>
    <row r="10" spans="1:79">
      <c r="B10" s="31">
        <v>41698</v>
      </c>
      <c r="C10" s="30">
        <v>55</v>
      </c>
      <c r="D10" s="30">
        <v>1120</v>
      </c>
    </row>
    <row r="11" spans="1:79">
      <c r="B11" s="31">
        <v>41729</v>
      </c>
      <c r="C11" s="30">
        <v>232</v>
      </c>
      <c r="D11" s="30">
        <v>850</v>
      </c>
    </row>
    <row r="12" spans="1:79">
      <c r="B12" s="31">
        <v>41759</v>
      </c>
      <c r="C12" s="30">
        <v>210</v>
      </c>
      <c r="D12" s="30">
        <v>1003</v>
      </c>
    </row>
    <row r="13" spans="1:79">
      <c r="B13" s="31">
        <v>41790</v>
      </c>
      <c r="C13" s="30">
        <v>105</v>
      </c>
      <c r="D13" s="30">
        <v>1200</v>
      </c>
    </row>
    <row r="14" spans="1:79">
      <c r="B14" s="31">
        <v>41820</v>
      </c>
      <c r="C14" s="30">
        <v>70</v>
      </c>
      <c r="D14" s="30">
        <v>1600</v>
      </c>
    </row>
    <row r="15" spans="1:79">
      <c r="B15" s="31">
        <v>41851</v>
      </c>
      <c r="C15" s="30">
        <v>80</v>
      </c>
      <c r="D15" s="30">
        <v>1200</v>
      </c>
    </row>
    <row r="16" spans="1:79">
      <c r="B16" s="31">
        <v>41882</v>
      </c>
      <c r="C16" s="30">
        <v>90</v>
      </c>
      <c r="D16" s="30">
        <v>1125</v>
      </c>
    </row>
    <row r="17" spans="1:4">
      <c r="B17" s="31">
        <v>41912</v>
      </c>
      <c r="C17" s="30">
        <v>100</v>
      </c>
      <c r="D17" s="30">
        <v>1312</v>
      </c>
    </row>
    <row r="18" spans="1:4">
      <c r="B18" s="31">
        <v>41943</v>
      </c>
      <c r="C18" s="30">
        <v>90</v>
      </c>
      <c r="D18" s="30">
        <v>1850</v>
      </c>
    </row>
    <row r="19" spans="1:4">
      <c r="B19" s="31">
        <v>41973</v>
      </c>
      <c r="C19" s="30">
        <v>80</v>
      </c>
      <c r="D19" s="30">
        <v>2350</v>
      </c>
    </row>
    <row r="20" spans="1:4">
      <c r="B20" s="31">
        <v>42004</v>
      </c>
      <c r="C20" s="30">
        <v>85</v>
      </c>
      <c r="D20" s="30">
        <v>2450</v>
      </c>
    </row>
    <row r="21" spans="1:4">
      <c r="B21" s="31">
        <v>42035</v>
      </c>
      <c r="C21" s="30">
        <v>95</v>
      </c>
      <c r="D21" s="30">
        <v>3620</v>
      </c>
    </row>
    <row r="22" spans="1:4">
      <c r="B22" s="31">
        <v>42063</v>
      </c>
      <c r="C22" s="30">
        <v>120</v>
      </c>
      <c r="D22" s="30">
        <v>3200</v>
      </c>
    </row>
    <row r="24" spans="1:4" ht="18.75">
      <c r="A24" s="39" t="s">
        <v>68</v>
      </c>
    </row>
    <row r="25" spans="1:4">
      <c r="B25" t="s">
        <v>41</v>
      </c>
    </row>
    <row r="27" spans="1:4">
      <c r="D27" t="s">
        <v>26</v>
      </c>
    </row>
    <row r="28" spans="1:4">
      <c r="B28" s="35">
        <v>5000</v>
      </c>
      <c r="C28" s="35">
        <v>5400</v>
      </c>
      <c r="D28" s="32">
        <f>B28/(SUM(B28:C28))</f>
        <v>0.48076923076923078</v>
      </c>
    </row>
    <row r="30" spans="1:4" ht="18.75">
      <c r="A30" s="39" t="s">
        <v>69</v>
      </c>
    </row>
    <row r="31" spans="1:4">
      <c r="B31" t="s">
        <v>42</v>
      </c>
    </row>
    <row r="32" spans="1:4">
      <c r="B32" s="33">
        <v>1</v>
      </c>
      <c r="C32" s="12" t="s">
        <v>43</v>
      </c>
      <c r="D32" s="34">
        <v>5</v>
      </c>
    </row>
    <row r="33" spans="3:3">
      <c r="C33" t="s">
        <v>44</v>
      </c>
    </row>
  </sheetData>
  <mergeCells count="1">
    <mergeCell ref="A4:D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A2:R26"/>
  <sheetViews>
    <sheetView workbookViewId="0">
      <selection activeCell="E22" sqref="E22"/>
    </sheetView>
  </sheetViews>
  <sheetFormatPr defaultRowHeight="15"/>
  <cols>
    <col min="1" max="1" width="12.42578125" bestFit="1" customWidth="1"/>
    <col min="2" max="2" width="11.28515625" bestFit="1" customWidth="1"/>
    <col min="3" max="3" width="10.5703125" customWidth="1"/>
    <col min="4" max="5" width="19.7109375" customWidth="1"/>
  </cols>
  <sheetData>
    <row r="2" spans="1:18">
      <c r="B2" t="s">
        <v>66</v>
      </c>
    </row>
    <row r="3" spans="1:18" ht="30">
      <c r="A3" s="74" t="s">
        <v>73</v>
      </c>
      <c r="B3" s="73" t="s">
        <v>3</v>
      </c>
      <c r="C3" s="73" t="s">
        <v>4</v>
      </c>
      <c r="D3" s="73" t="s">
        <v>74</v>
      </c>
      <c r="F3" s="156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8" ht="15.75">
      <c r="A4" s="72">
        <v>42005</v>
      </c>
      <c r="B4" s="75">
        <v>600000</v>
      </c>
      <c r="C4" s="75">
        <v>300000</v>
      </c>
      <c r="D4" s="75">
        <v>200000</v>
      </c>
      <c r="F4" s="155" t="s">
        <v>114</v>
      </c>
      <c r="G4" s="154"/>
      <c r="H4" s="154"/>
      <c r="I4" s="154"/>
      <c r="J4" s="154"/>
      <c r="K4" s="154"/>
      <c r="L4" s="149"/>
      <c r="M4" s="149"/>
      <c r="N4" s="149"/>
      <c r="O4" s="149"/>
      <c r="P4" s="156"/>
      <c r="Q4" s="149"/>
      <c r="R4" s="149"/>
    </row>
    <row r="5" spans="1:18" ht="15.75">
      <c r="A5" s="72">
        <v>42036</v>
      </c>
      <c r="B5" s="75">
        <v>500000</v>
      </c>
      <c r="C5" s="75">
        <v>300000</v>
      </c>
      <c r="D5" s="75">
        <v>200000</v>
      </c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55" t="s">
        <v>113</v>
      </c>
      <c r="Q5" s="154"/>
      <c r="R5" s="149"/>
    </row>
    <row r="6" spans="1:18">
      <c r="A6" s="72">
        <v>42064</v>
      </c>
      <c r="B6" s="75">
        <v>400000</v>
      </c>
      <c r="C6" s="75">
        <v>200000</v>
      </c>
      <c r="D6" s="75">
        <v>100000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</row>
    <row r="7" spans="1:18">
      <c r="A7" s="72">
        <v>42095</v>
      </c>
      <c r="B7" s="75">
        <v>200000</v>
      </c>
      <c r="C7" s="75">
        <v>100000</v>
      </c>
      <c r="D7" s="75">
        <v>200000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</row>
    <row r="8" spans="1:18">
      <c r="A8" s="72">
        <v>42125</v>
      </c>
      <c r="B8" s="75">
        <v>100000</v>
      </c>
      <c r="C8" s="75">
        <v>100000</v>
      </c>
      <c r="D8" s="75">
        <v>200000</v>
      </c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</row>
    <row r="9" spans="1:18">
      <c r="A9" s="72">
        <v>42156</v>
      </c>
      <c r="B9" s="75">
        <v>100000</v>
      </c>
      <c r="C9" s="75">
        <v>200000</v>
      </c>
      <c r="D9" s="75">
        <v>100000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</row>
    <row r="10" spans="1:18">
      <c r="A10" s="72">
        <v>42186</v>
      </c>
      <c r="B10" s="75">
        <v>100000</v>
      </c>
      <c r="C10" s="75">
        <v>100000</v>
      </c>
      <c r="D10" s="75">
        <v>200000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</row>
    <row r="11" spans="1:18">
      <c r="A11" s="72">
        <v>42217</v>
      </c>
      <c r="B11" s="75">
        <v>100000</v>
      </c>
      <c r="C11" s="75">
        <v>100000</v>
      </c>
      <c r="D11" s="75">
        <v>100000</v>
      </c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</row>
    <row r="12" spans="1:18">
      <c r="A12" s="72">
        <v>42248</v>
      </c>
      <c r="B12" s="75">
        <v>200000</v>
      </c>
      <c r="C12" s="75">
        <v>100000</v>
      </c>
      <c r="D12" s="75">
        <v>200000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</row>
    <row r="13" spans="1:18">
      <c r="A13" s="72">
        <v>42278</v>
      </c>
      <c r="B13" s="75">
        <v>300000</v>
      </c>
      <c r="C13" s="75">
        <v>100000</v>
      </c>
      <c r="D13" s="75">
        <v>100000</v>
      </c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</row>
    <row r="14" spans="1:18">
      <c r="A14" s="72">
        <v>42309</v>
      </c>
      <c r="B14" s="75">
        <v>240000</v>
      </c>
      <c r="C14" s="75">
        <v>100000</v>
      </c>
      <c r="D14" s="75">
        <v>200000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</row>
    <row r="15" spans="1:18">
      <c r="A15" s="72">
        <v>42339</v>
      </c>
      <c r="B15" s="75">
        <v>400000</v>
      </c>
      <c r="C15" s="75">
        <v>100000</v>
      </c>
      <c r="D15" s="75">
        <v>200000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</row>
    <row r="16" spans="1:18">
      <c r="A16" s="72">
        <v>42370</v>
      </c>
      <c r="B16" s="75">
        <v>500000</v>
      </c>
      <c r="C16" s="75">
        <v>100000</v>
      </c>
      <c r="D16" s="75">
        <v>200000</v>
      </c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</row>
    <row r="17" spans="1:18">
      <c r="A17" s="72">
        <v>42401</v>
      </c>
      <c r="B17" s="75">
        <v>400000</v>
      </c>
      <c r="C17" s="75">
        <v>100000</v>
      </c>
      <c r="D17" s="75">
        <v>200000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</row>
    <row r="18" spans="1:18">
      <c r="A18" s="72">
        <v>42430</v>
      </c>
      <c r="B18" s="75">
        <v>400000</v>
      </c>
      <c r="C18" s="75">
        <v>100000</v>
      </c>
      <c r="D18" s="75">
        <v>200000</v>
      </c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>
      <c r="A19" s="72">
        <v>42461</v>
      </c>
      <c r="B19" s="75">
        <v>600000</v>
      </c>
      <c r="C19" s="75">
        <v>100000</v>
      </c>
      <c r="D19" s="75">
        <v>200000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</row>
    <row r="20" spans="1:18">
      <c r="A20" s="72">
        <v>42491</v>
      </c>
      <c r="B20" s="75">
        <v>700000</v>
      </c>
      <c r="C20" s="75">
        <v>100000</v>
      </c>
      <c r="D20" s="75">
        <v>200000</v>
      </c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</row>
    <row r="21" spans="1:18">
      <c r="A21" s="72">
        <v>42522</v>
      </c>
      <c r="B21" s="75">
        <v>600000</v>
      </c>
      <c r="C21" s="75">
        <v>100000</v>
      </c>
      <c r="D21" s="75">
        <v>200000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</row>
    <row r="22" spans="1:18">
      <c r="A22" s="72">
        <v>42552</v>
      </c>
      <c r="B22" s="75">
        <v>600000</v>
      </c>
      <c r="C22" s="75">
        <v>100000</v>
      </c>
      <c r="D22" s="75">
        <v>200000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</row>
    <row r="23" spans="1:18">
      <c r="A23" s="72">
        <v>42583</v>
      </c>
      <c r="B23" s="75">
        <v>400000</v>
      </c>
      <c r="C23" s="75">
        <v>100000</v>
      </c>
      <c r="D23" s="75">
        <v>200000</v>
      </c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</row>
    <row r="24" spans="1:18">
      <c r="A24" s="72">
        <v>42614</v>
      </c>
      <c r="B24" s="75">
        <v>400000</v>
      </c>
      <c r="C24" s="75">
        <v>100000</v>
      </c>
      <c r="D24" s="75">
        <v>200000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</row>
    <row r="25" spans="1:18">
      <c r="A25" s="151"/>
      <c r="B25" s="152">
        <f>SUBTOTAL(109,Table3[IDPs])</f>
        <v>7840000</v>
      </c>
      <c r="C25" s="153"/>
      <c r="D25" s="153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</row>
    <row r="26" spans="1:18"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</row>
  </sheetData>
  <pageMargins left="0.7" right="0.7" top="0.75" bottom="0.75" header="0.3" footer="0.3"/>
  <pageSetup paperSize="9" orientation="portrait" verticalDpi="120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749992370372631"/>
  </sheetPr>
  <dimension ref="A1:O16"/>
  <sheetViews>
    <sheetView zoomScaleNormal="100" workbookViewId="0">
      <selection activeCell="J8" sqref="J8"/>
    </sheetView>
  </sheetViews>
  <sheetFormatPr defaultRowHeight="15"/>
  <cols>
    <col min="3" max="4" width="5.28515625" customWidth="1"/>
    <col min="5" max="5" width="4.85546875" customWidth="1"/>
    <col min="6" max="7" width="5.85546875" customWidth="1"/>
    <col min="8" max="8" width="5.28515625" customWidth="1"/>
    <col min="9" max="9" width="5.5703125" customWidth="1"/>
    <col min="10" max="10" width="4.7109375" customWidth="1"/>
    <col min="11" max="12" width="5.28515625" customWidth="1"/>
    <col min="13" max="13" width="6" customWidth="1"/>
    <col min="14" max="14" width="5.28515625" customWidth="1"/>
  </cols>
  <sheetData>
    <row r="1" spans="1:15" ht="58.9" customHeight="1">
      <c r="A1" s="201"/>
      <c r="B1" s="202"/>
      <c r="C1" s="91" t="s">
        <v>89</v>
      </c>
      <c r="D1" s="89" t="s">
        <v>90</v>
      </c>
      <c r="E1" s="89" t="s">
        <v>14</v>
      </c>
      <c r="F1" s="89" t="s">
        <v>91</v>
      </c>
      <c r="G1" s="89" t="s">
        <v>92</v>
      </c>
      <c r="H1" s="89" t="s">
        <v>75</v>
      </c>
      <c r="I1" s="89" t="s">
        <v>12</v>
      </c>
      <c r="J1" s="89" t="s">
        <v>13</v>
      </c>
      <c r="K1" s="89" t="s">
        <v>93</v>
      </c>
      <c r="L1" s="89" t="s">
        <v>10</v>
      </c>
      <c r="M1" s="89" t="s">
        <v>9</v>
      </c>
      <c r="N1" s="89" t="s">
        <v>88</v>
      </c>
      <c r="O1" s="197" t="s">
        <v>94</v>
      </c>
    </row>
    <row r="2" spans="1:15" ht="15" customHeight="1">
      <c r="A2" s="203"/>
      <c r="B2" s="204"/>
      <c r="C2" s="92"/>
      <c r="D2" s="94"/>
      <c r="E2" s="94"/>
      <c r="F2" s="94"/>
      <c r="G2" s="95"/>
      <c r="H2" s="95"/>
      <c r="I2" s="95"/>
      <c r="J2" s="95"/>
      <c r="K2" s="95"/>
      <c r="L2" s="95"/>
      <c r="M2" s="95"/>
      <c r="N2" s="95"/>
      <c r="O2" s="199"/>
    </row>
    <row r="3" spans="1:15">
      <c r="A3" s="203"/>
      <c r="B3" s="204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199"/>
    </row>
    <row r="4" spans="1:15" ht="15.75" thickBot="1">
      <c r="A4" s="205"/>
      <c r="B4" s="206"/>
      <c r="C4" s="84"/>
      <c r="D4" s="86"/>
      <c r="E4" s="84"/>
      <c r="F4" s="84"/>
      <c r="G4" s="84"/>
      <c r="H4" s="84"/>
      <c r="I4" s="84"/>
      <c r="J4" s="84"/>
      <c r="K4" s="84"/>
      <c r="L4" s="84"/>
      <c r="M4" s="84"/>
      <c r="N4" s="84"/>
      <c r="O4" s="200"/>
    </row>
    <row r="5" spans="1:15" ht="19.899999999999999" customHeight="1" thickBot="1">
      <c r="A5" s="84"/>
      <c r="B5" s="85" t="s">
        <v>95</v>
      </c>
      <c r="C5" s="88">
        <v>22</v>
      </c>
      <c r="D5" s="88"/>
      <c r="E5" s="88"/>
      <c r="F5" s="88"/>
      <c r="G5" s="88"/>
      <c r="H5" s="88"/>
      <c r="I5" s="88"/>
      <c r="J5" s="88">
        <v>34</v>
      </c>
      <c r="K5" s="88"/>
      <c r="L5" s="88"/>
      <c r="M5" s="88"/>
      <c r="N5" s="88">
        <v>33</v>
      </c>
      <c r="O5" s="90">
        <f>SUM(C5:N5)</f>
        <v>89</v>
      </c>
    </row>
    <row r="6" spans="1:15" ht="25.15" customHeight="1" thickBot="1">
      <c r="A6" s="84"/>
      <c r="B6" s="85" t="s">
        <v>96</v>
      </c>
      <c r="C6" s="88"/>
      <c r="D6" s="88"/>
      <c r="E6" s="88">
        <v>15</v>
      </c>
      <c r="F6" s="88"/>
      <c r="G6" s="88"/>
      <c r="H6" s="88">
        <v>30</v>
      </c>
      <c r="I6" s="88"/>
      <c r="J6" s="88"/>
      <c r="K6" s="88">
        <v>41</v>
      </c>
      <c r="L6" s="88"/>
      <c r="M6" s="88">
        <v>50</v>
      </c>
      <c r="N6" s="88">
        <v>21</v>
      </c>
      <c r="O6" s="90">
        <f t="shared" ref="O6:O16" si="0">SUM(C6:N6)</f>
        <v>157</v>
      </c>
    </row>
    <row r="7" spans="1:15" ht="25.15" customHeight="1" thickBot="1">
      <c r="A7" s="84"/>
      <c r="B7" s="85" t="s">
        <v>97</v>
      </c>
      <c r="C7" s="88"/>
      <c r="D7" s="88"/>
      <c r="E7" s="88"/>
      <c r="F7" s="88">
        <v>20</v>
      </c>
      <c r="G7" s="88"/>
      <c r="H7" s="88">
        <v>33</v>
      </c>
      <c r="I7" s="88"/>
      <c r="J7" s="88">
        <v>22</v>
      </c>
      <c r="K7" s="88"/>
      <c r="L7" s="88"/>
      <c r="M7" s="88"/>
      <c r="N7" s="88">
        <v>44</v>
      </c>
      <c r="O7" s="90">
        <f t="shared" si="0"/>
        <v>119</v>
      </c>
    </row>
    <row r="8" spans="1:15" ht="25.15" customHeight="1" thickBot="1">
      <c r="A8" s="84"/>
      <c r="B8" s="85" t="s">
        <v>98</v>
      </c>
      <c r="C8" s="88"/>
      <c r="D8" s="88"/>
      <c r="E8" s="88"/>
      <c r="F8" s="88"/>
      <c r="G8" s="88"/>
      <c r="H8" s="88">
        <v>21</v>
      </c>
      <c r="I8" s="88"/>
      <c r="J8" s="88"/>
      <c r="K8" s="88"/>
      <c r="L8" s="88"/>
      <c r="M8" s="88">
        <v>45</v>
      </c>
      <c r="N8" s="88">
        <v>14</v>
      </c>
      <c r="O8" s="90">
        <f t="shared" si="0"/>
        <v>80</v>
      </c>
    </row>
    <row r="9" spans="1:15" ht="25.15" customHeight="1" thickBot="1">
      <c r="A9" s="84"/>
      <c r="B9" s="85" t="s">
        <v>99</v>
      </c>
      <c r="C9" s="88"/>
      <c r="D9" s="88"/>
      <c r="E9" s="88">
        <v>12</v>
      </c>
      <c r="F9" s="88"/>
      <c r="G9" s="88"/>
      <c r="H9" s="88"/>
      <c r="I9" s="88"/>
      <c r="J9" s="88"/>
      <c r="K9" s="88">
        <v>39</v>
      </c>
      <c r="L9" s="88"/>
      <c r="M9" s="88"/>
      <c r="N9" s="88"/>
      <c r="O9" s="90">
        <f t="shared" si="0"/>
        <v>51</v>
      </c>
    </row>
    <row r="10" spans="1:15" ht="25.15" customHeight="1" thickBot="1">
      <c r="A10" s="84"/>
      <c r="B10" s="85" t="s">
        <v>95</v>
      </c>
      <c r="C10" s="88"/>
      <c r="D10" s="88"/>
      <c r="E10" s="88"/>
      <c r="F10" s="88"/>
      <c r="G10" s="88"/>
      <c r="H10" s="88"/>
      <c r="I10" s="88">
        <v>6</v>
      </c>
      <c r="J10" s="88"/>
      <c r="K10" s="88"/>
      <c r="L10" s="88"/>
      <c r="M10" s="88">
        <v>10</v>
      </c>
      <c r="N10" s="88">
        <v>5</v>
      </c>
      <c r="O10" s="90">
        <f t="shared" si="0"/>
        <v>21</v>
      </c>
    </row>
    <row r="11" spans="1:15" ht="25.15" customHeight="1" thickBot="1">
      <c r="A11" s="84"/>
      <c r="B11" s="85" t="s">
        <v>95</v>
      </c>
      <c r="C11" s="88"/>
      <c r="D11" s="88"/>
      <c r="E11" s="88"/>
      <c r="F11" s="88"/>
      <c r="G11" s="88"/>
      <c r="H11" s="88"/>
      <c r="I11" s="88">
        <v>7</v>
      </c>
      <c r="J11" s="88"/>
      <c r="K11" s="88"/>
      <c r="L11" s="88"/>
      <c r="M11" s="88"/>
      <c r="N11" s="88"/>
      <c r="O11" s="90">
        <f t="shared" si="0"/>
        <v>7</v>
      </c>
    </row>
    <row r="12" spans="1:15" ht="25.15" customHeight="1" thickBot="1">
      <c r="A12" s="84"/>
      <c r="B12" s="85" t="s">
        <v>95</v>
      </c>
      <c r="C12" s="88"/>
      <c r="D12" s="88"/>
      <c r="E12" s="88"/>
      <c r="F12" s="88"/>
      <c r="G12" s="88">
        <v>24</v>
      </c>
      <c r="H12" s="88"/>
      <c r="I12" s="88"/>
      <c r="J12" s="88"/>
      <c r="K12" s="88"/>
      <c r="L12" s="88"/>
      <c r="M12" s="88">
        <v>9</v>
      </c>
      <c r="N12" s="88"/>
      <c r="O12" s="90">
        <f t="shared" si="0"/>
        <v>33</v>
      </c>
    </row>
    <row r="13" spans="1:15" ht="25.15" customHeight="1" thickBot="1">
      <c r="A13" s="84"/>
      <c r="B13" s="85" t="s">
        <v>95</v>
      </c>
      <c r="C13" s="88"/>
      <c r="D13" s="88">
        <v>40</v>
      </c>
      <c r="E13" s="88"/>
      <c r="F13" s="88"/>
      <c r="G13" s="88"/>
      <c r="H13" s="88"/>
      <c r="I13" s="88"/>
      <c r="J13" s="88">
        <v>23</v>
      </c>
      <c r="K13" s="88"/>
      <c r="L13" s="88">
        <v>44</v>
      </c>
      <c r="M13" s="88"/>
      <c r="N13" s="88"/>
      <c r="O13" s="90">
        <f t="shared" si="0"/>
        <v>107</v>
      </c>
    </row>
    <row r="14" spans="1:15" ht="25.15" customHeight="1" thickBot="1">
      <c r="A14" s="84"/>
      <c r="B14" s="85" t="s">
        <v>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90">
        <f t="shared" si="0"/>
        <v>0</v>
      </c>
    </row>
    <row r="15" spans="1:15" ht="25.15" customHeight="1" thickBot="1">
      <c r="A15" s="84"/>
      <c r="B15" s="85" t="s">
        <v>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0">
        <f t="shared" si="0"/>
        <v>0</v>
      </c>
    </row>
    <row r="16" spans="1:15" ht="25.15" customHeight="1">
      <c r="A16" s="197" t="s">
        <v>94</v>
      </c>
      <c r="B16" s="198"/>
      <c r="C16" s="87">
        <f>SUM(C5:C15)</f>
        <v>22</v>
      </c>
      <c r="D16" s="87">
        <f t="shared" ref="D16:N16" si="1">SUM(D5:D15)</f>
        <v>40</v>
      </c>
      <c r="E16" s="87">
        <f t="shared" si="1"/>
        <v>27</v>
      </c>
      <c r="F16" s="87">
        <f t="shared" si="1"/>
        <v>20</v>
      </c>
      <c r="G16" s="87">
        <f t="shared" si="1"/>
        <v>24</v>
      </c>
      <c r="H16" s="87">
        <f t="shared" si="1"/>
        <v>84</v>
      </c>
      <c r="I16" s="87">
        <f t="shared" si="1"/>
        <v>13</v>
      </c>
      <c r="J16" s="87">
        <f t="shared" si="1"/>
        <v>79</v>
      </c>
      <c r="K16" s="87">
        <f t="shared" si="1"/>
        <v>80</v>
      </c>
      <c r="L16" s="87">
        <f t="shared" si="1"/>
        <v>44</v>
      </c>
      <c r="M16" s="87">
        <f t="shared" si="1"/>
        <v>114</v>
      </c>
      <c r="N16" s="87">
        <f t="shared" si="1"/>
        <v>117</v>
      </c>
      <c r="O16" s="90">
        <f t="shared" si="0"/>
        <v>664</v>
      </c>
    </row>
  </sheetData>
  <mergeCells count="3">
    <mergeCell ref="A16:B16"/>
    <mergeCell ref="O1:O4"/>
    <mergeCell ref="A1:B4"/>
  </mergeCells>
  <conditionalFormatting sqref="C5:N15">
    <cfRule type="cellIs" dxfId="4" priority="1" operator="between">
      <formula>31</formula>
      <formula>40</formula>
    </cfRule>
    <cfRule type="cellIs" dxfId="3" priority="2" operator="between">
      <formula>41</formula>
      <formula>50</formula>
    </cfRule>
    <cfRule type="cellIs" dxfId="2" priority="3" operator="between">
      <formula>21</formula>
      <formula>30</formula>
    </cfRule>
    <cfRule type="cellIs" dxfId="1" priority="4" operator="between">
      <formula>11</formula>
      <formula>20</formula>
    </cfRule>
    <cfRule type="cellIs" dxfId="0" priority="5" operator="between">
      <formula>1</formula>
      <formula>10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Start</vt:lpstr>
      <vt:lpstr>PN Sector</vt:lpstr>
      <vt:lpstr>PN Location</vt:lpstr>
      <vt:lpstr>Sector Charts</vt:lpstr>
      <vt:lpstr>PN Caseload</vt:lpstr>
      <vt:lpstr>Sector Footer Charts</vt:lpstr>
      <vt:lpstr>Timeline of Events</vt:lpstr>
      <vt:lpstr>Assessments</vt:lpstr>
    </vt:vector>
  </TitlesOfParts>
  <Company>a2a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Mensa Roberto</dc:creator>
  <cp:lastModifiedBy>Kashif REHMAN</cp:lastModifiedBy>
  <cp:lastPrinted>2016-07-08T13:30:04Z</cp:lastPrinted>
  <dcterms:created xsi:type="dcterms:W3CDTF">2013-10-09T14:27:03Z</dcterms:created>
  <dcterms:modified xsi:type="dcterms:W3CDTF">2016-08-02T22:03:10Z</dcterms:modified>
</cp:coreProperties>
</file>